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dborova\ODDĚLENÍ ROZPOČTU\Ilča\ZVEŘEJNĚNÍ RM\94. rada\"/>
    </mc:Choice>
  </mc:AlternateContent>
  <xr:revisionPtr revIDLastSave="0" documentId="13_ncr:1_{1E4A97B3-9624-4928-80DD-3F532C573FCF}" xr6:coauthVersionLast="47" xr6:coauthVersionMax="47" xr10:uidLastSave="{00000000-0000-0000-0000-000000000000}"/>
  <bookViews>
    <workbookView xWindow="-109" yWindow="-109" windowWidth="26301" windowHeight="14169" xr2:uid="{5F939F0E-B7C8-4EE0-A5CF-22394BFDF32C}"/>
  </bookViews>
  <sheets>
    <sheet name="ZU rozp.r.2026 a RO RM 1-11" sheetId="1" r:id="rId1"/>
  </sheets>
  <definedNames>
    <definedName name="__DdeLink__9289_5144441" localSheetId="0">'ZU rozp.r.2026 a RO RM 1-11'!#REF!</definedName>
    <definedName name="_xlnm.Print_Titles" localSheetId="0">'ZU rozp.r.2026 a RO RM 1-11'!$1:$2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4" i="1" l="1"/>
  <c r="I24" i="1"/>
  <c r="J6" i="1"/>
  <c r="J9" i="1" s="1"/>
  <c r="J29" i="1"/>
  <c r="K29" i="1" s="1"/>
  <c r="J28" i="1"/>
  <c r="J27" i="1"/>
  <c r="K27" i="1"/>
  <c r="K28" i="1"/>
  <c r="J26" i="1"/>
  <c r="J30" i="1"/>
  <c r="K30" i="1" s="1"/>
  <c r="J269" i="1"/>
  <c r="J255" i="1"/>
  <c r="J251" i="1"/>
  <c r="J244" i="1"/>
  <c r="J243" i="1"/>
  <c r="J205" i="1"/>
  <c r="J206" i="1"/>
  <c r="J190" i="1"/>
  <c r="J137" i="1"/>
  <c r="J133" i="1"/>
  <c r="K133" i="1" s="1"/>
  <c r="J132" i="1"/>
  <c r="K132" i="1" s="1"/>
  <c r="J47" i="1"/>
  <c r="J46" i="1"/>
  <c r="J43" i="1"/>
  <c r="J12" i="1"/>
  <c r="J20" i="1" s="1"/>
  <c r="J147" i="1"/>
  <c r="I147" i="1"/>
  <c r="K5" i="1"/>
  <c r="I20" i="1"/>
  <c r="I9" i="1"/>
  <c r="K7" i="1"/>
  <c r="K8" i="1"/>
  <c r="K13" i="1"/>
  <c r="K14" i="1"/>
  <c r="K15" i="1"/>
  <c r="K16" i="1"/>
  <c r="K17" i="1"/>
  <c r="K18" i="1"/>
  <c r="K19" i="1"/>
  <c r="K279" i="1"/>
  <c r="K276" i="1"/>
  <c r="K186" i="1"/>
  <c r="K185" i="1"/>
  <c r="K184" i="1"/>
  <c r="K183" i="1"/>
  <c r="K130" i="1"/>
  <c r="K123" i="1"/>
  <c r="K117" i="1"/>
  <c r="K106" i="1"/>
  <c r="K107" i="1"/>
  <c r="K101" i="1"/>
  <c r="K99" i="1"/>
  <c r="I274" i="1"/>
  <c r="J24" i="1" l="1"/>
  <c r="K26" i="1"/>
  <c r="K6" i="1"/>
  <c r="J191" i="1"/>
  <c r="K205" i="1"/>
  <c r="K12" i="1"/>
  <c r="K9" i="1"/>
  <c r="I52" i="1"/>
  <c r="I302" i="1"/>
  <c r="I287" i="1" l="1"/>
  <c r="I284" i="1"/>
  <c r="I281" i="1"/>
  <c r="I267" i="1"/>
  <c r="I263" i="1"/>
  <c r="I257" i="1"/>
  <c r="I253" i="1"/>
  <c r="I249" i="1"/>
  <c r="I245" i="1"/>
  <c r="I241" i="1"/>
  <c r="I230" i="1"/>
  <c r="I225" i="1"/>
  <c r="I222" i="1"/>
  <c r="I215" i="1"/>
  <c r="I211" i="1"/>
  <c r="I207" i="1"/>
  <c r="I191" i="1"/>
  <c r="I188" i="1"/>
  <c r="I156" i="1"/>
  <c r="I135" i="1"/>
  <c r="I48" i="1"/>
  <c r="I44" i="1"/>
  <c r="I36" i="1"/>
  <c r="I31" i="1"/>
  <c r="K24" i="1"/>
  <c r="H269" i="1"/>
  <c r="H190" i="1"/>
  <c r="H188" i="1" s="1"/>
  <c r="H243" i="1"/>
  <c r="H241" i="1" s="1"/>
  <c r="H47" i="1"/>
  <c r="H46" i="1"/>
  <c r="H289" i="1"/>
  <c r="H287" i="1" s="1"/>
  <c r="H271" i="1"/>
  <c r="H235" i="1"/>
  <c r="H187" i="1"/>
  <c r="H155" i="1"/>
  <c r="H149" i="1"/>
  <c r="H137" i="1"/>
  <c r="H134" i="1"/>
  <c r="H35" i="1"/>
  <c r="H31" i="1" s="1"/>
  <c r="H8" i="1"/>
  <c r="H6" i="1"/>
  <c r="H30" i="1"/>
  <c r="H286" i="1"/>
  <c r="H284" i="1" s="1"/>
  <c r="H259" i="1"/>
  <c r="H257" i="1" s="1"/>
  <c r="H255" i="1"/>
  <c r="H253" i="1" s="1"/>
  <c r="H236" i="1"/>
  <c r="H233" i="1"/>
  <c r="H234" i="1"/>
  <c r="H214" i="1"/>
  <c r="H211" i="1" s="1"/>
  <c r="H146" i="1"/>
  <c r="H122" i="1"/>
  <c r="F306" i="1"/>
  <c r="H251" i="1"/>
  <c r="H249" i="1" s="1"/>
  <c r="H210" i="1"/>
  <c r="H207" i="1" s="1"/>
  <c r="H54" i="1"/>
  <c r="G24" i="1"/>
  <c r="G302" i="1"/>
  <c r="H302" i="1"/>
  <c r="H281" i="1"/>
  <c r="H274" i="1"/>
  <c r="H263" i="1"/>
  <c r="G263" i="1"/>
  <c r="G257" i="1"/>
  <c r="G253" i="1"/>
  <c r="G249" i="1"/>
  <c r="H245" i="1"/>
  <c r="G245" i="1"/>
  <c r="G241" i="1"/>
  <c r="G230" i="1"/>
  <c r="H225" i="1"/>
  <c r="G225" i="1"/>
  <c r="H222" i="1"/>
  <c r="G222" i="1"/>
  <c r="H215" i="1"/>
  <c r="G215" i="1"/>
  <c r="G211" i="1"/>
  <c r="G207" i="1"/>
  <c r="G191" i="1"/>
  <c r="G188" i="1"/>
  <c r="G156" i="1"/>
  <c r="G147" i="1"/>
  <c r="G135" i="1"/>
  <c r="G52" i="1"/>
  <c r="H48" i="1"/>
  <c r="G44" i="1"/>
  <c r="H36" i="1"/>
  <c r="G36" i="1"/>
  <c r="G31" i="1"/>
  <c r="H20" i="1"/>
  <c r="G20" i="1"/>
  <c r="G9" i="1"/>
  <c r="G307" i="1"/>
  <c r="G287" i="1"/>
  <c r="G284" i="1"/>
  <c r="G281" i="1"/>
  <c r="G274" i="1"/>
  <c r="G267" i="1"/>
  <c r="G48" i="1"/>
  <c r="I21" i="1" l="1"/>
  <c r="I219" i="1"/>
  <c r="K232" i="1"/>
  <c r="I291" i="1"/>
  <c r="K122" i="1"/>
  <c r="H191" i="1"/>
  <c r="H230" i="1"/>
  <c r="H135" i="1"/>
  <c r="H156" i="1"/>
  <c r="H147" i="1"/>
  <c r="H9" i="1"/>
  <c r="H21" i="1" s="1"/>
  <c r="G219" i="1"/>
  <c r="H44" i="1"/>
  <c r="H52" i="1"/>
  <c r="G21" i="1"/>
  <c r="H24" i="1"/>
  <c r="G291" i="1"/>
  <c r="H267" i="1"/>
  <c r="E269" i="1"/>
  <c r="E271" i="1"/>
  <c r="E286" i="1"/>
  <c r="E284" i="1" s="1"/>
  <c r="E214" i="1"/>
  <c r="E255" i="1"/>
  <c r="E243" i="1"/>
  <c r="E241" i="1" s="1"/>
  <c r="E218" i="1"/>
  <c r="F218" i="1" s="1"/>
  <c r="E146" i="1"/>
  <c r="E137" i="1"/>
  <c r="E139" i="1"/>
  <c r="F139" i="1" s="1"/>
  <c r="E134" i="1"/>
  <c r="E54" i="1"/>
  <c r="E46" i="1"/>
  <c r="E44" i="1" s="1"/>
  <c r="E33" i="1"/>
  <c r="F33" i="1" s="1"/>
  <c r="E30" i="1"/>
  <c r="E8" i="1"/>
  <c r="E6" i="1"/>
  <c r="E259" i="1"/>
  <c r="E257" i="1" s="1"/>
  <c r="E251" i="1"/>
  <c r="E249" i="1" s="1"/>
  <c r="E149" i="1"/>
  <c r="F149" i="1" s="1"/>
  <c r="E235" i="1"/>
  <c r="E227" i="1"/>
  <c r="E190" i="1"/>
  <c r="E188" i="1" s="1"/>
  <c r="E187" i="1"/>
  <c r="E155" i="1"/>
  <c r="E35" i="1"/>
  <c r="F35" i="1" s="1"/>
  <c r="E302" i="1"/>
  <c r="E287" i="1"/>
  <c r="F289" i="1"/>
  <c r="E280" i="1"/>
  <c r="F280" i="1" s="1"/>
  <c r="E278" i="1"/>
  <c r="F278" i="1" s="1"/>
  <c r="E281" i="1"/>
  <c r="E263" i="1"/>
  <c r="E245" i="1"/>
  <c r="E234" i="1"/>
  <c r="F234" i="1" s="1"/>
  <c r="E233" i="1"/>
  <c r="E222" i="1"/>
  <c r="E36" i="1"/>
  <c r="E213" i="1"/>
  <c r="F213" i="1" s="1"/>
  <c r="E207" i="1"/>
  <c r="E191" i="1"/>
  <c r="E48" i="1"/>
  <c r="E20" i="1"/>
  <c r="F298" i="1"/>
  <c r="F290" i="1"/>
  <c r="F296" i="1"/>
  <c r="F17" i="1"/>
  <c r="D9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9" i="1"/>
  <c r="F210" i="1"/>
  <c r="F217" i="1"/>
  <c r="F224" i="1"/>
  <c r="F228" i="1"/>
  <c r="F229" i="1"/>
  <c r="F236" i="1"/>
  <c r="F237" i="1"/>
  <c r="F238" i="1"/>
  <c r="F239" i="1"/>
  <c r="F240" i="1"/>
  <c r="F247" i="1"/>
  <c r="F248" i="1"/>
  <c r="F252" i="1"/>
  <c r="F256" i="1"/>
  <c r="F260" i="1"/>
  <c r="F261" i="1"/>
  <c r="F262" i="1"/>
  <c r="F265" i="1"/>
  <c r="F266" i="1"/>
  <c r="F270" i="1"/>
  <c r="F272" i="1"/>
  <c r="F273" i="1"/>
  <c r="F277" i="1"/>
  <c r="F283" i="1"/>
  <c r="F295" i="1"/>
  <c r="F297" i="1"/>
  <c r="F299" i="1"/>
  <c r="F300" i="1"/>
  <c r="F301" i="1"/>
  <c r="F172" i="1"/>
  <c r="F173" i="1"/>
  <c r="F174" i="1"/>
  <c r="F175" i="1"/>
  <c r="F176" i="1"/>
  <c r="F177" i="1"/>
  <c r="F178" i="1"/>
  <c r="F179" i="1"/>
  <c r="F180" i="1"/>
  <c r="F181" i="1"/>
  <c r="F182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38" i="1"/>
  <c r="F140" i="1"/>
  <c r="F141" i="1"/>
  <c r="F142" i="1"/>
  <c r="F143" i="1"/>
  <c r="F144" i="1"/>
  <c r="F145" i="1"/>
  <c r="F150" i="1"/>
  <c r="F151" i="1"/>
  <c r="F152" i="1"/>
  <c r="F153" i="1"/>
  <c r="F154" i="1"/>
  <c r="F158" i="1"/>
  <c r="F84" i="1"/>
  <c r="F87" i="1"/>
  <c r="F88" i="1"/>
  <c r="F89" i="1"/>
  <c r="F90" i="1"/>
  <c r="F91" i="1"/>
  <c r="F92" i="1"/>
  <c r="F93" i="1"/>
  <c r="F94" i="1"/>
  <c r="F95" i="1"/>
  <c r="F96" i="1"/>
  <c r="F97" i="1"/>
  <c r="F98" i="1"/>
  <c r="F100" i="1"/>
  <c r="F102" i="1"/>
  <c r="F103" i="1"/>
  <c r="F104" i="1"/>
  <c r="F105" i="1"/>
  <c r="F108" i="1"/>
  <c r="F109" i="1"/>
  <c r="F110" i="1"/>
  <c r="F111" i="1"/>
  <c r="F112" i="1"/>
  <c r="F113" i="1"/>
  <c r="F114" i="1"/>
  <c r="F115" i="1"/>
  <c r="F116" i="1"/>
  <c r="F124" i="1"/>
  <c r="F125" i="1"/>
  <c r="F128" i="1"/>
  <c r="F129" i="1"/>
  <c r="F131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50" i="1"/>
  <c r="F51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34" i="1"/>
  <c r="F39" i="1"/>
  <c r="F40" i="1"/>
  <c r="F41" i="1"/>
  <c r="F42" i="1"/>
  <c r="F7" i="1"/>
  <c r="F13" i="1"/>
  <c r="F14" i="1"/>
  <c r="F15" i="1"/>
  <c r="F16" i="1"/>
  <c r="F18" i="1"/>
  <c r="F19" i="1"/>
  <c r="F5" i="1"/>
  <c r="C286" i="1"/>
  <c r="C54" i="1"/>
  <c r="D249" i="1"/>
  <c r="C271" i="1"/>
  <c r="C269" i="1"/>
  <c r="C235" i="1"/>
  <c r="C214" i="1"/>
  <c r="C190" i="1"/>
  <c r="C46" i="1"/>
  <c r="D24" i="1"/>
  <c r="C30" i="1"/>
  <c r="C8" i="1"/>
  <c r="C6" i="1"/>
  <c r="D307" i="1"/>
  <c r="D302" i="1"/>
  <c r="D287" i="1"/>
  <c r="D284" i="1"/>
  <c r="D281" i="1"/>
  <c r="D274" i="1"/>
  <c r="D267" i="1"/>
  <c r="D263" i="1"/>
  <c r="D257" i="1"/>
  <c r="D253" i="1"/>
  <c r="D245" i="1"/>
  <c r="D241" i="1"/>
  <c r="D230" i="1"/>
  <c r="D225" i="1"/>
  <c r="D222" i="1"/>
  <c r="D215" i="1"/>
  <c r="D211" i="1"/>
  <c r="D207" i="1"/>
  <c r="D191" i="1"/>
  <c r="D188" i="1"/>
  <c r="D156" i="1"/>
  <c r="D147" i="1"/>
  <c r="D135" i="1"/>
  <c r="D52" i="1"/>
  <c r="D48" i="1"/>
  <c r="D44" i="1"/>
  <c r="D36" i="1"/>
  <c r="D31" i="1"/>
  <c r="D20" i="1"/>
  <c r="C206" i="1"/>
  <c r="C191" i="1" s="1"/>
  <c r="C12" i="1"/>
  <c r="C20" i="1" s="1"/>
  <c r="C259" i="1"/>
  <c r="C257" i="1" s="1"/>
  <c r="C243" i="1"/>
  <c r="C244" i="1"/>
  <c r="F244" i="1" s="1"/>
  <c r="C233" i="1"/>
  <c r="C187" i="1"/>
  <c r="C146" i="1"/>
  <c r="C137" i="1"/>
  <c r="C118" i="1"/>
  <c r="F118" i="1" s="1"/>
  <c r="C126" i="1"/>
  <c r="F126" i="1" s="1"/>
  <c r="C127" i="1"/>
  <c r="F127" i="1" s="1"/>
  <c r="C121" i="1"/>
  <c r="F121" i="1" s="1"/>
  <c r="C120" i="1"/>
  <c r="F120" i="1" s="1"/>
  <c r="C119" i="1"/>
  <c r="F119" i="1" s="1"/>
  <c r="C134" i="1"/>
  <c r="C47" i="1"/>
  <c r="F47" i="1" s="1"/>
  <c r="C43" i="1"/>
  <c r="F43" i="1" s="1"/>
  <c r="C38" i="1"/>
  <c r="F38" i="1" s="1"/>
  <c r="C31" i="1"/>
  <c r="C302" i="1"/>
  <c r="C287" i="1"/>
  <c r="C281" i="1"/>
  <c r="C274" i="1"/>
  <c r="C263" i="1"/>
  <c r="C253" i="1"/>
  <c r="C245" i="1"/>
  <c r="C225" i="1"/>
  <c r="C222" i="1"/>
  <c r="C215" i="1"/>
  <c r="C207" i="1"/>
  <c r="C147" i="1"/>
  <c r="C86" i="1"/>
  <c r="F86" i="1" s="1"/>
  <c r="C85" i="1"/>
  <c r="F85" i="1" s="1"/>
  <c r="C48" i="1"/>
  <c r="F46" i="1" l="1"/>
  <c r="F44" i="1" s="1"/>
  <c r="K120" i="1"/>
  <c r="K58" i="1"/>
  <c r="K111" i="1"/>
  <c r="K140" i="1"/>
  <c r="K163" i="1"/>
  <c r="K172" i="1"/>
  <c r="K203" i="1"/>
  <c r="K39" i="1"/>
  <c r="K57" i="1"/>
  <c r="K68" i="1"/>
  <c r="K138" i="1"/>
  <c r="K181" i="1"/>
  <c r="I306" i="1"/>
  <c r="K237" i="1"/>
  <c r="K202" i="1"/>
  <c r="K34" i="1"/>
  <c r="K56" i="1"/>
  <c r="K131" i="1"/>
  <c r="K96" i="1"/>
  <c r="K154" i="1"/>
  <c r="K171" i="1"/>
  <c r="K301" i="1"/>
  <c r="K266" i="1"/>
  <c r="K296" i="1"/>
  <c r="K86" i="1"/>
  <c r="K127" i="1"/>
  <c r="K67" i="1"/>
  <c r="K77" i="1"/>
  <c r="K129" i="1"/>
  <c r="K95" i="1"/>
  <c r="K170" i="1"/>
  <c r="K179" i="1"/>
  <c r="K300" i="1"/>
  <c r="K229" i="1"/>
  <c r="K201" i="1"/>
  <c r="K290" i="1"/>
  <c r="I292" i="1"/>
  <c r="I303" i="1" s="1"/>
  <c r="K126" i="1"/>
  <c r="K66" i="1"/>
  <c r="K51" i="1"/>
  <c r="K76" i="1"/>
  <c r="K109" i="1"/>
  <c r="K94" i="1"/>
  <c r="K152" i="1"/>
  <c r="K169" i="1"/>
  <c r="K159" i="1"/>
  <c r="K178" i="1"/>
  <c r="K299" i="1"/>
  <c r="K228" i="1"/>
  <c r="K200" i="1"/>
  <c r="K298" i="1"/>
  <c r="K118" i="1"/>
  <c r="K65" i="1"/>
  <c r="K50" i="1"/>
  <c r="K75" i="1"/>
  <c r="K125" i="1"/>
  <c r="K108" i="1"/>
  <c r="K93" i="1"/>
  <c r="K151" i="1"/>
  <c r="K297" i="1"/>
  <c r="K262" i="1"/>
  <c r="K199" i="1"/>
  <c r="K64" i="1"/>
  <c r="K74" i="1"/>
  <c r="K124" i="1"/>
  <c r="K92" i="1"/>
  <c r="K150" i="1"/>
  <c r="K198" i="1"/>
  <c r="K278" i="1"/>
  <c r="K33" i="1"/>
  <c r="K46" i="1"/>
  <c r="K63" i="1"/>
  <c r="K83" i="1"/>
  <c r="K73" i="1"/>
  <c r="K116" i="1"/>
  <c r="K105" i="1"/>
  <c r="K91" i="1"/>
  <c r="K145" i="1"/>
  <c r="K168" i="1"/>
  <c r="K177" i="1"/>
  <c r="K210" i="1"/>
  <c r="K197" i="1"/>
  <c r="K280" i="1"/>
  <c r="K43" i="1"/>
  <c r="K62" i="1"/>
  <c r="K82" i="1"/>
  <c r="K72" i="1"/>
  <c r="K115" i="1"/>
  <c r="K104" i="1"/>
  <c r="K90" i="1"/>
  <c r="K144" i="1"/>
  <c r="K167" i="1"/>
  <c r="K176" i="1"/>
  <c r="K261" i="1"/>
  <c r="K248" i="1"/>
  <c r="K196" i="1"/>
  <c r="K98" i="1"/>
  <c r="K272" i="1"/>
  <c r="K97" i="1"/>
  <c r="K270" i="1"/>
  <c r="K35" i="1"/>
  <c r="K85" i="1"/>
  <c r="K161" i="1"/>
  <c r="K153" i="1"/>
  <c r="K78" i="1"/>
  <c r="K182" i="1"/>
  <c r="K158" i="1"/>
  <c r="K42" i="1"/>
  <c r="K70" i="1"/>
  <c r="K88" i="1"/>
  <c r="K256" i="1"/>
  <c r="K213" i="1"/>
  <c r="K139" i="1"/>
  <c r="K40" i="1"/>
  <c r="K84" i="1"/>
  <c r="K238" i="1"/>
  <c r="K121" i="1"/>
  <c r="K162" i="1"/>
  <c r="K218" i="1"/>
  <c r="K180" i="1"/>
  <c r="K236" i="1"/>
  <c r="K234" i="1"/>
  <c r="K55" i="1"/>
  <c r="K110" i="1"/>
  <c r="K160" i="1"/>
  <c r="K128" i="1"/>
  <c r="K61" i="1"/>
  <c r="K81" i="1"/>
  <c r="K71" i="1"/>
  <c r="K114" i="1"/>
  <c r="K103" i="1"/>
  <c r="K89" i="1"/>
  <c r="K143" i="1"/>
  <c r="K166" i="1"/>
  <c r="K175" i="1"/>
  <c r="K260" i="1"/>
  <c r="K195" i="1"/>
  <c r="K60" i="1"/>
  <c r="K80" i="1"/>
  <c r="K113" i="1"/>
  <c r="K102" i="1"/>
  <c r="K142" i="1"/>
  <c r="K165" i="1"/>
  <c r="K174" i="1"/>
  <c r="K240" i="1"/>
  <c r="K194" i="1"/>
  <c r="K119" i="1"/>
  <c r="K244" i="1"/>
  <c r="K41" i="1"/>
  <c r="K59" i="1"/>
  <c r="K79" i="1"/>
  <c r="K69" i="1"/>
  <c r="K112" i="1"/>
  <c r="K100" i="1"/>
  <c r="K87" i="1"/>
  <c r="K141" i="1"/>
  <c r="K164" i="1"/>
  <c r="K173" i="1"/>
  <c r="K273" i="1"/>
  <c r="K252" i="1"/>
  <c r="K239" i="1"/>
  <c r="K204" i="1"/>
  <c r="H291" i="1"/>
  <c r="F54" i="1"/>
  <c r="H219" i="1"/>
  <c r="F6" i="1"/>
  <c r="F134" i="1"/>
  <c r="F137" i="1"/>
  <c r="F263" i="1"/>
  <c r="E225" i="1"/>
  <c r="F227" i="1"/>
  <c r="C211" i="1"/>
  <c r="F214" i="1"/>
  <c r="F207" i="1"/>
  <c r="F287" i="1"/>
  <c r="E253" i="1"/>
  <c r="F255" i="1"/>
  <c r="F215" i="1"/>
  <c r="F245" i="1"/>
  <c r="F243" i="1"/>
  <c r="F271" i="1"/>
  <c r="F48" i="1"/>
  <c r="F222" i="1"/>
  <c r="F36" i="1"/>
  <c r="F302" i="1"/>
  <c r="F187" i="1"/>
  <c r="F281" i="1"/>
  <c r="F269" i="1"/>
  <c r="F274" i="1"/>
  <c r="C284" i="1"/>
  <c r="F286" i="1"/>
  <c r="F31" i="1"/>
  <c r="F190" i="1"/>
  <c r="E215" i="1"/>
  <c r="E147" i="1"/>
  <c r="E267" i="1"/>
  <c r="F235" i="1"/>
  <c r="F155" i="1"/>
  <c r="E230" i="1"/>
  <c r="E274" i="1"/>
  <c r="F251" i="1"/>
  <c r="E156" i="1"/>
  <c r="E211" i="1"/>
  <c r="E24" i="1"/>
  <c r="E31" i="1"/>
  <c r="F233" i="1"/>
  <c r="E135" i="1"/>
  <c r="F146" i="1"/>
  <c r="E52" i="1"/>
  <c r="F8" i="1"/>
  <c r="D21" i="1"/>
  <c r="F206" i="1"/>
  <c r="E9" i="1"/>
  <c r="E21" i="1" s="1"/>
  <c r="F30" i="1"/>
  <c r="F12" i="1"/>
  <c r="F259" i="1"/>
  <c r="C249" i="1"/>
  <c r="C24" i="1"/>
  <c r="C230" i="1"/>
  <c r="C188" i="1"/>
  <c r="D291" i="1"/>
  <c r="D219" i="1"/>
  <c r="C9" i="1"/>
  <c r="C135" i="1"/>
  <c r="C267" i="1"/>
  <c r="C241" i="1"/>
  <c r="C156" i="1"/>
  <c r="C36" i="1"/>
  <c r="C44" i="1"/>
  <c r="C52" i="1"/>
  <c r="F307" i="1"/>
  <c r="J306" i="1" l="1"/>
  <c r="K187" i="1"/>
  <c r="K149" i="1"/>
  <c r="K206" i="1"/>
  <c r="K137" i="1"/>
  <c r="K155" i="1"/>
  <c r="K134" i="1"/>
  <c r="K146" i="1"/>
  <c r="K235" i="1"/>
  <c r="K193" i="1"/>
  <c r="J31" i="1"/>
  <c r="K31" i="1" s="1"/>
  <c r="I307" i="1"/>
  <c r="K271" i="1"/>
  <c r="K54" i="1"/>
  <c r="H292" i="1"/>
  <c r="H303" i="1" s="1"/>
  <c r="F135" i="1"/>
  <c r="F24" i="1"/>
  <c r="F52" i="1"/>
  <c r="F147" i="1"/>
  <c r="F9" i="1"/>
  <c r="F230" i="1"/>
  <c r="F267" i="1"/>
  <c r="F253" i="1"/>
  <c r="F257" i="1"/>
  <c r="F188" i="1"/>
  <c r="F20" i="1"/>
  <c r="F249" i="1"/>
  <c r="F241" i="1"/>
  <c r="F211" i="1"/>
  <c r="F284" i="1"/>
  <c r="F225" i="1"/>
  <c r="F191" i="1"/>
  <c r="F156" i="1"/>
  <c r="G292" i="1"/>
  <c r="G303" i="1" s="1"/>
  <c r="E291" i="1"/>
  <c r="E219" i="1"/>
  <c r="D292" i="1"/>
  <c r="D303" i="1" s="1"/>
  <c r="C21" i="1"/>
  <c r="C291" i="1"/>
  <c r="C219" i="1"/>
  <c r="J245" i="1" l="1"/>
  <c r="K245" i="1" s="1"/>
  <c r="K247" i="1"/>
  <c r="J302" i="1"/>
  <c r="K302" i="1" s="1"/>
  <c r="K295" i="1"/>
  <c r="J36" i="1"/>
  <c r="K36" i="1" s="1"/>
  <c r="K38" i="1"/>
  <c r="J215" i="1"/>
  <c r="K215" i="1" s="1"/>
  <c r="K217" i="1"/>
  <c r="J44" i="1"/>
  <c r="K47" i="1"/>
  <c r="J287" i="1"/>
  <c r="K287" i="1" s="1"/>
  <c r="K289" i="1"/>
  <c r="J274" i="1"/>
  <c r="K274" i="1" s="1"/>
  <c r="K277" i="1"/>
  <c r="J263" i="1"/>
  <c r="K263" i="1" s="1"/>
  <c r="K265" i="1"/>
  <c r="J222" i="1"/>
  <c r="K222" i="1" s="1"/>
  <c r="K224" i="1"/>
  <c r="J48" i="1"/>
  <c r="K48" i="1" s="1"/>
  <c r="J207" i="1"/>
  <c r="K207" i="1" s="1"/>
  <c r="K209" i="1"/>
  <c r="J281" i="1"/>
  <c r="K281" i="1" s="1"/>
  <c r="K283" i="1"/>
  <c r="J307" i="1"/>
  <c r="J156" i="1"/>
  <c r="K156" i="1" s="1"/>
  <c r="K20" i="1"/>
  <c r="K147" i="1"/>
  <c r="J52" i="1"/>
  <c r="K52" i="1" s="1"/>
  <c r="K191" i="1"/>
  <c r="J135" i="1"/>
  <c r="K135" i="1" s="1"/>
  <c r="F291" i="1"/>
  <c r="F219" i="1"/>
  <c r="F21" i="1"/>
  <c r="E292" i="1"/>
  <c r="E303" i="1" s="1"/>
  <c r="C292" i="1"/>
  <c r="C303" i="1" s="1"/>
  <c r="K44" i="1" l="1"/>
  <c r="J284" i="1"/>
  <c r="K284" i="1" s="1"/>
  <c r="K286" i="1"/>
  <c r="J211" i="1"/>
  <c r="K214" i="1"/>
  <c r="J253" i="1"/>
  <c r="K253" i="1" s="1"/>
  <c r="K255" i="1"/>
  <c r="J241" i="1"/>
  <c r="K243" i="1"/>
  <c r="J267" i="1"/>
  <c r="K267" i="1" s="1"/>
  <c r="K269" i="1"/>
  <c r="J249" i="1"/>
  <c r="K249" i="1" s="1"/>
  <c r="K251" i="1"/>
  <c r="J230" i="1"/>
  <c r="K230" i="1" s="1"/>
  <c r="K233" i="1"/>
  <c r="J225" i="1"/>
  <c r="K225" i="1" s="1"/>
  <c r="K227" i="1"/>
  <c r="J188" i="1"/>
  <c r="K188" i="1" s="1"/>
  <c r="K190" i="1"/>
  <c r="J257" i="1"/>
  <c r="K257" i="1" s="1"/>
  <c r="K259" i="1"/>
  <c r="J21" i="1"/>
  <c r="K21" i="1" s="1"/>
  <c r="F292" i="1"/>
  <c r="F303" i="1" s="1"/>
  <c r="J219" i="1" l="1"/>
  <c r="J291" i="1"/>
  <c r="K291" i="1" s="1"/>
  <c r="K211" i="1"/>
  <c r="K241" i="1"/>
  <c r="K219" i="1" l="1"/>
  <c r="J292" i="1"/>
  <c r="J303" i="1" s="1"/>
  <c r="K303" i="1" s="1"/>
  <c r="K292" i="1" l="1"/>
</calcChain>
</file>

<file path=xl/sharedStrings.xml><?xml version="1.0" encoding="utf-8"?>
<sst xmlns="http://schemas.openxmlformats.org/spreadsheetml/2006/main" count="445" uniqueCount="283">
  <si>
    <t>Závazný ukazatel</t>
  </si>
  <si>
    <t xml:space="preserve">   Časová použitelnost                 dotací a příspěvků                 (od - do)</t>
  </si>
  <si>
    <t>sl. 1</t>
  </si>
  <si>
    <t>sl. 2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</si>
  <si>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</si>
  <si>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</si>
  <si>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</si>
  <si>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</si>
  <si>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</si>
  <si>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</si>
  <si>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</si>
  <si>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</si>
  <si>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</si>
  <si>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</si>
  <si>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</si>
  <si>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</si>
  <si>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</si>
  <si>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</si>
  <si>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</si>
  <si>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</si>
  <si>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</si>
  <si>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</si>
  <si>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</si>
  <si>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</si>
  <si>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</si>
  <si>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</si>
  <si>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</si>
  <si>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</si>
  <si>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</si>
  <si>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</si>
  <si>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</si>
  <si>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</si>
  <si>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</si>
  <si>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</si>
  <si>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</si>
  <si>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</si>
  <si>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</si>
  <si>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</si>
  <si>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</si>
  <si>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</si>
  <si>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</si>
  <si>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</si>
  <si>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</si>
  <si>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</si>
  <si>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</si>
  <si>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</si>
  <si>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</si>
  <si>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</si>
  <si>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</si>
  <si>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</si>
  <si>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</si>
  <si>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</si>
  <si>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</si>
  <si>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</si>
  <si>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</si>
  <si>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</si>
  <si>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</si>
  <si>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</si>
  <si>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</si>
  <si>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</si>
  <si>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</si>
  <si>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</si>
  <si>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</si>
  <si>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</si>
  <si>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</si>
  <si>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</si>
  <si>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</si>
  <si>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</si>
  <si>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</si>
  <si>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</si>
  <si>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</si>
  <si>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</si>
  <si>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</si>
  <si>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</si>
  <si>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</si>
  <si>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</si>
  <si>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</si>
  <si>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</si>
  <si>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</si>
  <si>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</si>
  <si>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</si>
  <si>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</si>
  <si>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</si>
  <si>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</si>
  <si>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</si>
  <si>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</si>
  <si>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</si>
  <si>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</si>
  <si>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</si>
  <si>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</si>
  <si>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</si>
  <si>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</si>
  <si>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</si>
  <si>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</si>
  <si>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</si>
  <si>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</si>
  <si>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</si>
  <si>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</si>
  <si>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</si>
  <si>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</si>
  <si>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</si>
  <si>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</si>
  <si>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</si>
  <si>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</si>
  <si>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</si>
  <si>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</si>
  <si>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</si>
  <si>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</si>
  <si>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</si>
  <si>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</si>
  <si>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</si>
  <si>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</si>
  <si>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</si>
  <si>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</si>
  <si>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</si>
  <si>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</si>
  <si>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</si>
  <si>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</si>
  <si>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</si>
  <si>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</si>
  <si>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</si>
  <si>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</si>
  <si>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</si>
  <si>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</si>
  <si>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</si>
  <si>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</si>
  <si>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</si>
  <si>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</si>
  <si>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</si>
  <si>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</si>
  <si>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</si>
  <si>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</si>
  <si>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</si>
  <si>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</si>
  <si>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</si>
  <si>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</si>
  <si>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</si>
  <si>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</si>
  <si>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</si>
  <si>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</si>
  <si>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</si>
  <si>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</si>
  <si>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</si>
  <si>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</si>
  <si>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</si>
  <si>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</si>
  <si>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</si>
  <si>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</si>
  <si>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</si>
  <si>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</si>
  <si>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</si>
  <si>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</si>
  <si>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</si>
  <si>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</si>
  <si>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</si>
  <si>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</si>
  <si>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</si>
  <si>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</si>
  <si>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</si>
  <si>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</si>
  <si>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</si>
  <si>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</si>
  <si>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</si>
  <si>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</si>
  <si>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</si>
  <si>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</si>
  <si>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</si>
  <si>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</si>
  <si>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</si>
  <si>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</si>
  <si>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</si>
  <si>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</si>
  <si>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</si>
  <si>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</si>
  <si>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</si>
  <si>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</si>
  <si>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</si>
  <si>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</si>
  <si>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</si>
  <si>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</si>
  <si>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</si>
  <si>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</si>
  <si>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</si>
  <si>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</si>
  <si>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</si>
  <si>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</si>
  <si>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Ostatní kapitálové výdaje odboru územního rozvoje a stavebního řádu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</si>
  <si>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</si>
  <si>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</si>
  <si>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</si>
  <si>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</si>
  <si>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</si>
  <si>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</si>
  <si>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</si>
  <si>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</si>
  <si>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</si>
  <si>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</si>
  <si>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</si>
  <si>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</si>
  <si>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8117/8118 - Aktivní krátkodobé operace řízení likvidity</t>
  </si>
  <si>
    <t>Transdev Slezsko, a.s. - provoz MHD</t>
  </si>
  <si>
    <t>Transdev Slezsko, a.s. - provoz MHD - ÚZ 161</t>
  </si>
  <si>
    <t>Hospic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</si>
  <si>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</si>
  <si>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</si>
  <si>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</si>
  <si>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DP Podpora a rozvoj mládežnického sportu ve městě - viz doplňující příloha č. 2</t>
  </si>
  <si>
    <t>DP Podpora výchovy, vzdělávání a zájmových aktivit - viz doplňující příloha č. 3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</si>
  <si>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</si>
  <si>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</si>
  <si>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</si>
  <si>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</si>
  <si>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</si>
  <si>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</si>
  <si>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</si>
  <si>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</si>
  <si>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</si>
  <si>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</si>
  <si>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</si>
  <si>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</si>
  <si>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</si>
  <si>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Svazek obcí Olešná (dříve pod názvem Dobrovolný svazek obcí Olešná) - členský příspěvek</t>
  </si>
  <si>
    <t>Společnost pro symfonickou a komorní hudbu ve F-M, z.s. - akce a koncerty na území města F-M</t>
  </si>
  <si>
    <t>ZŠ a MŠ Chlebovice</t>
  </si>
  <si>
    <t>Sokolík FM z.s. - "Turistický pochod Lískovecká 10"</t>
  </si>
  <si>
    <t>Sportovní klub orientačního běhu FM z.s. - "Podzimní krajský žebříček v denním oreintačním běhu"</t>
  </si>
  <si>
    <t>SH ČMS - Okresní sdružení hasičů FM - "Závod hasičské všestrannosti a brannosti"</t>
  </si>
  <si>
    <t>sl. 6</t>
  </si>
  <si>
    <t>Rozpočtová opatření RM       č. 1 - 29                  (v tis. Kč)</t>
  </si>
  <si>
    <t>1. změna rozpočtu                    (v tis. Kč)</t>
  </si>
  <si>
    <t>Ostatní neinvestiční výdaje odboru právního a organizačního</t>
  </si>
  <si>
    <t>Rozpočtová opatření RM       č. 30 - 70                  (v tis. Kč)</t>
  </si>
  <si>
    <t>Sportplex Frýdek-Místek, s.r.o. - investiční dotace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</si>
  <si>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</si>
  <si>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</si>
  <si>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</si>
  <si>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</si>
  <si>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</si>
  <si>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Basketpoint Frýdek-Místek z. s. - na náklady spojené s účastí a spolupořadatelstvím v seriálu mezinárodních turnajů CEYBL</t>
  </si>
  <si>
    <t>Rozpočtová opatření RM       č. 80 - 121                   (v tis. Kč)</t>
  </si>
  <si>
    <t>x</t>
  </si>
  <si>
    <t xml:space="preserve">Gymnázium Cihelní - spolufinancování provozu sportoviště otevřeného pro veřejnost </t>
  </si>
  <si>
    <t>Basketpoint Frýdek-Místek z. s. - akce Junior Basketpoint League</t>
  </si>
  <si>
    <t>TJ Sokol Frýdek-Místek -akce Funky Beat MS v tanci v USA</t>
  </si>
  <si>
    <t>TJ Slezská - 2. ZŠ FM - "45. vánoční turnaj ve stolním tenise"</t>
  </si>
  <si>
    <t>MAS Pobeskydí, z.s.- Seminář pro ředitele škol a festival inspirace v přírodních vědách</t>
  </si>
  <si>
    <t>MAS Pobeskydí, z.s.- Místní akční plán Frýdek-Místek V</t>
  </si>
  <si>
    <t>1.1.2026 - 31.12.2026</t>
  </si>
  <si>
    <t>1.1.2026 - 31.12.2027</t>
  </si>
  <si>
    <t>Love production s.r.o. - Nová osmička 2026</t>
  </si>
  <si>
    <t>1.1.2026 - 30.11.2026</t>
  </si>
  <si>
    <t>Sdružení obrany spotřebitelů Moravy a Slezska</t>
  </si>
  <si>
    <t>Slezská diakonie, ARCHA Třinec</t>
  </si>
  <si>
    <t>Repette, z. s.</t>
  </si>
  <si>
    <t>Slezská diakonie, Housing First - podpora bydlení ve Slezské diakonii</t>
  </si>
  <si>
    <t>DP Revitalizace veřejných prostranství ve Frýdku-Místku - viz doplňující příloha č. 14</t>
  </si>
  <si>
    <t>Finanční dar na veřejnou sbírku "DARUJ F≈M - Věž kostela v Lískovci"</t>
  </si>
  <si>
    <t>Sokolík FM z.s. - "Fotbalový turnaj Liga Sokolíka"</t>
  </si>
  <si>
    <t>Sokolík FM z.s. - "Nohejbalový turnaj Sokolíka"</t>
  </si>
  <si>
    <t>Financování - aktivní krátkodobé operace řízení likvidity                           (pol. 8117 a 8118)</t>
  </si>
  <si>
    <t>1.1.2026 - 31.10.2026</t>
  </si>
  <si>
    <t>1.1.2026 - 30.6.2027</t>
  </si>
  <si>
    <t>1.1.2026 - 11.12.2026</t>
  </si>
  <si>
    <t>1.1.2026 - 28.2.2027</t>
  </si>
  <si>
    <t>1.1.2026 - 14.12.2026</t>
  </si>
  <si>
    <t>HZS Moravskoslezský kraj - investiční dotace na rekonstrukci a stav. úpravy vnitřních a venkovních prostor hasičské stanice ve Frýdku-Místku nebo k pořízení mobilní techniky</t>
  </si>
  <si>
    <t>Sportovní klub orientačního běhu FM z.s. -"Jarní krajský žebříček v nočním orientačním běhu"</t>
  </si>
  <si>
    <t>Financování - aktivní krátkodobé operace řízení likvidity celkem       (pol. 8117 a 8118)</t>
  </si>
  <si>
    <t>Projekt "Příspěvek na obědy v ZŠ ve FM" - příspěvek s vyúčtováním           z toho:    rezerva na obědy žáků s trvalým pobytem na území statutárního města Frýdek-Místek</t>
  </si>
  <si>
    <t>Neinvestiční výdaje hrazené z Fondu pomoci občanům dotčeným výstavbou komunikace R/48</t>
  </si>
  <si>
    <t>Schválený rozpočet              na rok 2026                         (v tis. Kč)</t>
  </si>
  <si>
    <t>sl 3.</t>
  </si>
  <si>
    <t>Akademie japonského ju jitsu - na provoz a činnost</t>
  </si>
  <si>
    <t>JO Tenisové tréninkové centrum z.s. - akce "Mezinárodní tenistový turnaj Tennis Europe"</t>
  </si>
  <si>
    <t>Tenisový klub TENNISPOINT ve Frýdku-Místku - zabezpečení tenisových turnajů kategorie ,,A" 15. ročník Steel tennis challenge 2026 - dorostenci: POHÁR PRIMÁTORA MĚSTA FRÝDKU-MÍSTKU a mladší žáci: ŠTÍT MĚSTA FRÝDKU-MÍSTKU</t>
  </si>
  <si>
    <t>HC Frýdek-Místek 2015 s.r.o. - zabezpečení akce 50 let hokeje ve Frýdku-Místku</t>
  </si>
  <si>
    <t>SH ČMS - Sbor dobrovolných hasičů Lískovec - akce Ples SDH Lískovec</t>
  </si>
  <si>
    <t>TJ SOKOL Lískovec z.s. - akce Sportovní ples 2026</t>
  </si>
  <si>
    <t>1.1.2026 - 31.7.2026</t>
  </si>
  <si>
    <t>1.1.2026 - 30.4.2026</t>
  </si>
  <si>
    <t>1.1.2026 - 31.3.2026</t>
  </si>
  <si>
    <t>Rozpočtová opatření RM            č. 1 - 11                             (v tis. Kč)</t>
  </si>
  <si>
    <t>Rozpočet roku 2026 po rozpočtových opatřeních RM            č. 1 - 11  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</si>
</sst>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3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right"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0" fontId="7" fillId="8" borderId="27" xfId="0" applyFont="1" applyFill="1" applyBorder="1" applyAlignment="1">
      <alignment vertical="center" wrapText="1"/>
    </xf>
    <xf numFmtId="0" fontId="3" fillId="7" borderId="27" xfId="0" applyFont="1" applyFill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1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/>
    </xf>
    <xf numFmtId="0" fontId="0" fillId="4" borderId="31" xfId="0" applyFill="1" applyBorder="1"/>
    <xf numFmtId="4" fontId="5" fillId="4" borderId="31" xfId="0" applyNumberFormat="1" applyFont="1" applyFill="1" applyBorder="1" applyAlignment="1">
      <alignment vertical="center"/>
    </xf>
    <xf numFmtId="4" fontId="4" fillId="5" borderId="31" xfId="0" applyNumberFormat="1" applyFont="1" applyFill="1" applyBorder="1" applyAlignment="1">
      <alignment vertical="center"/>
    </xf>
    <xf numFmtId="4" fontId="3" fillId="5" borderId="31" xfId="0" applyNumberFormat="1" applyFont="1" applyFill="1" applyBorder="1" applyAlignment="1">
      <alignment vertical="center"/>
    </xf>
    <xf numFmtId="4" fontId="5" fillId="6" borderId="31" xfId="0" applyNumberFormat="1" applyFont="1" applyFill="1" applyBorder="1" applyAlignment="1">
      <alignment vertical="center"/>
    </xf>
    <xf numFmtId="4" fontId="4" fillId="7" borderId="31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3" fillId="8" borderId="31" xfId="0" applyNumberFormat="1" applyFont="1" applyFill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4" fontId="3" fillId="7" borderId="31" xfId="0" applyNumberFormat="1" applyFont="1" applyFill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31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33" xfId="0" applyFont="1" applyBorder="1" applyAlignment="1">
      <alignment vertical="center"/>
    </xf>
    <xf numFmtId="0" fontId="7" fillId="8" borderId="35" xfId="0" applyFont="1" applyFill="1" applyBorder="1" applyAlignment="1">
      <alignment horizontal="center" vertical="center"/>
    </xf>
    <xf numFmtId="4" fontId="3" fillId="8" borderId="35" xfId="0" applyNumberFormat="1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4" fontId="4" fillId="0" borderId="38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 wrapText="1"/>
    </xf>
    <xf numFmtId="0" fontId="4" fillId="3" borderId="38" xfId="0" applyFont="1" applyFill="1" applyBorder="1" applyAlignment="1">
      <alignment horizontal="center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6" xfId="0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6" xfId="0" applyNumberFormat="1" applyFont="1" applyFill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4" fontId="6" fillId="0" borderId="6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/>
    </xf>
    <xf numFmtId="4" fontId="3" fillId="5" borderId="17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42" xfId="0" applyFont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/>
    </xf>
    <xf numFmtId="4" fontId="4" fillId="0" borderId="44" xfId="0" applyNumberFormat="1" applyFont="1" applyBorder="1" applyAlignment="1">
      <alignment vertical="center"/>
    </xf>
    <xf numFmtId="4" fontId="4" fillId="0" borderId="45" xfId="0" applyNumberFormat="1" applyFont="1" applyBorder="1" applyAlignment="1">
      <alignment vertical="center"/>
    </xf>
    <xf numFmtId="4" fontId="4" fillId="0" borderId="43" xfId="0" applyNumberFormat="1" applyFont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0" fontId="4" fillId="0" borderId="11" xfId="0" applyFont="1" applyBorder="1" applyAlignment="1">
      <alignment vertical="top" wrapText="1"/>
    </xf>
    <xf numFmtId="4" fontId="4" fillId="0" borderId="12" xfId="0" applyNumberFormat="1" applyFont="1" applyBorder="1" applyAlignment="1">
      <alignment horizontal="right" vertical="top"/>
    </xf>
    <xf numFmtId="4" fontId="3" fillId="5" borderId="37" xfId="0" applyNumberFormat="1" applyFont="1" applyFill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3" borderId="44" xfId="0" applyFont="1" applyFill="1" applyBorder="1" applyAlignment="1">
      <alignment horizontal="center" vertical="center"/>
    </xf>
    <xf numFmtId="4" fontId="4" fillId="0" borderId="47" xfId="0" applyNumberFormat="1" applyFont="1" applyBorder="1" applyAlignment="1">
      <alignment vertical="center"/>
    </xf>
    <xf numFmtId="4" fontId="3" fillId="7" borderId="17" xfId="0" applyNumberFormat="1" applyFont="1" applyFill="1" applyBorder="1" applyAlignment="1">
      <alignment vertical="center"/>
    </xf>
    <xf numFmtId="0" fontId="3" fillId="3" borderId="48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4" fontId="5" fillId="6" borderId="37" xfId="0" applyNumberFormat="1" applyFont="1" applyFill="1" applyBorder="1" applyAlignment="1">
      <alignment vertical="center"/>
    </xf>
    <xf numFmtId="4" fontId="3" fillId="8" borderId="49" xfId="0" applyNumberFormat="1" applyFont="1" applyFill="1" applyBorder="1" applyAlignment="1">
      <alignment vertical="center"/>
    </xf>
    <xf numFmtId="0" fontId="7" fillId="8" borderId="34" xfId="0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0" fontId="13" fillId="8" borderId="34" xfId="0" applyFont="1" applyFill="1" applyBorder="1" applyAlignment="1">
      <alignment vertical="center"/>
    </xf>
    <xf numFmtId="4" fontId="3" fillId="8" borderId="35" xfId="0" applyNumberFormat="1" applyFont="1" applyFill="1" applyBorder="1" applyAlignment="1">
      <alignment horizontal="right" vertical="center"/>
    </xf>
    <xf numFmtId="4" fontId="12" fillId="8" borderId="35" xfId="0" applyNumberFormat="1" applyFont="1" applyFill="1" applyBorder="1" applyAlignment="1">
      <alignment horizontal="right" vertical="center"/>
    </xf>
    <xf numFmtId="0" fontId="3" fillId="7" borderId="34" xfId="0" applyFont="1" applyFill="1" applyBorder="1" applyAlignment="1">
      <alignment vertical="center"/>
    </xf>
    <xf numFmtId="0" fontId="3" fillId="7" borderId="35" xfId="0" applyFont="1" applyFill="1" applyBorder="1" applyAlignment="1">
      <alignment horizontal="center" vertical="center"/>
    </xf>
    <xf numFmtId="4" fontId="3" fillId="7" borderId="35" xfId="0" applyNumberFormat="1" applyFont="1" applyFill="1" applyBorder="1" applyAlignment="1">
      <alignment vertical="center"/>
    </xf>
    <xf numFmtId="4" fontId="3" fillId="7" borderId="36" xfId="0" applyNumberFormat="1" applyFont="1" applyFill="1" applyBorder="1" applyAlignment="1">
      <alignment vertical="center"/>
    </xf>
    <xf numFmtId="4" fontId="3" fillId="7" borderId="49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vertical="center" wrapText="1"/>
    </xf>
    <xf numFmtId="4" fontId="4" fillId="0" borderId="50" xfId="0" applyNumberFormat="1" applyFont="1" applyBorder="1" applyAlignment="1">
      <alignment vertical="center"/>
    </xf>
    <xf numFmtId="4" fontId="4" fillId="0" borderId="51" xfId="0" applyNumberFormat="1" applyFont="1" applyBorder="1" applyAlignment="1">
      <alignment vertical="center"/>
    </xf>
    <xf numFmtId="4" fontId="4" fillId="0" borderId="52" xfId="0" applyNumberFormat="1" applyFont="1" applyBorder="1" applyAlignment="1">
      <alignment vertical="center"/>
    </xf>
    <xf numFmtId="0" fontId="0" fillId="8" borderId="35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M310"/>
  <sheetViews>
    <sheetView tabSelected="1" view="pageLayout" topLeftCell="A299" zoomScale="110" zoomScaleNormal="100" zoomScalePageLayoutView="110" workbookViewId="0">
      <selection activeCell="B304" sqref="B304"/>
    </sheetView>
  </sheetViews>
  <sheetFormatPr defaultColWidth="9.125" defaultRowHeight="14.3" x14ac:dyDescent="0.25"/>
  <cols>
    <col min="1" max="1" width="57.625" customWidth="1"/>
    <col min="2" max="2" width="15.875" style="119" customWidth="1"/>
    <col min="3" max="3" width="10.625" hidden="1" customWidth="1"/>
    <col min="4" max="4" width="11.375" hidden="1" customWidth="1"/>
    <col min="5" max="5" width="0.125" hidden="1" customWidth="1"/>
    <col min="6" max="6" width="13.25" hidden="1" customWidth="1"/>
    <col min="7" max="7" width="10.625" hidden="1" customWidth="1"/>
    <col min="8" max="8" width="0.375" hidden="1" customWidth="1"/>
    <col min="9" max="9" width="13" customWidth="1"/>
    <col min="10" max="10" width="12.25" customWidth="1"/>
    <col min="11" max="11" width="13.25" customWidth="1"/>
    <col min="13" max="13" width="10.875" bestFit="1" customWidth="1"/>
  </cols>
  <sheetData>
    <row r="1" spans="1:11" ht="72" customHeight="1" thickBot="1" x14ac:dyDescent="0.3">
      <c r="A1" s="66" t="s">
        <v>0</v>
      </c>
      <c r="B1" s="67" t="s">
        <v>1</v>
      </c>
      <c r="C1" s="69" t="s">
        <v>228</v>
      </c>
      <c r="D1" s="68" t="s">
        <v>229</v>
      </c>
      <c r="E1" s="68" t="s">
        <v>231</v>
      </c>
      <c r="F1" s="101" t="s">
        <v>236</v>
      </c>
      <c r="G1" s="68" t="s">
        <v>237</v>
      </c>
      <c r="H1" s="68" t="s">
        <v>239</v>
      </c>
      <c r="I1" s="68" t="s">
        <v>270</v>
      </c>
      <c r="J1" s="68" t="s">
        <v>281</v>
      </c>
      <c r="K1" s="65" t="s">
        <v>282</v>
      </c>
    </row>
    <row r="2" spans="1:11" ht="13.75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227</v>
      </c>
      <c r="F2" s="102" t="s">
        <v>4</v>
      </c>
      <c r="G2" s="3" t="s">
        <v>5</v>
      </c>
      <c r="H2" s="3" t="s">
        <v>227</v>
      </c>
      <c r="I2" s="3" t="s">
        <v>271</v>
      </c>
      <c r="J2" s="3" t="s">
        <v>4</v>
      </c>
      <c r="K2" s="89" t="s">
        <v>5</v>
      </c>
    </row>
    <row r="3" spans="1:11" ht="9.6999999999999993" customHeight="1" thickBot="1" x14ac:dyDescent="0.3">
      <c r="A3" s="4"/>
      <c r="B3" s="5"/>
      <c r="C3" s="70"/>
      <c r="D3" s="54"/>
      <c r="E3" s="54"/>
      <c r="G3" s="54"/>
      <c r="H3" s="54"/>
      <c r="I3" s="54"/>
      <c r="J3" s="54"/>
      <c r="K3" s="52"/>
    </row>
    <row r="4" spans="1:11" ht="16.5" customHeight="1" thickBot="1" x14ac:dyDescent="0.3">
      <c r="A4" s="6" t="s">
        <v>6</v>
      </c>
      <c r="B4" s="115"/>
      <c r="C4" s="71"/>
      <c r="D4" s="55"/>
      <c r="E4" s="55"/>
      <c r="F4" s="103"/>
      <c r="G4" s="55"/>
      <c r="H4" s="55"/>
      <c r="I4" s="55"/>
      <c r="J4" s="55"/>
      <c r="K4" s="53"/>
    </row>
    <row r="5" spans="1:11" ht="14.95" customHeight="1" x14ac:dyDescent="0.25">
      <c r="A5" s="7" t="s">
        <v>7</v>
      </c>
      <c r="B5" s="29"/>
      <c r="C5" s="8">
        <v>0</v>
      </c>
      <c r="D5" s="8">
        <v>19763.5</v>
      </c>
      <c r="E5" s="8">
        <v>0</v>
      </c>
      <c r="F5" s="100">
        <f>SUM(C5:E5)</f>
        <v>19763.5</v>
      </c>
      <c r="G5" s="8">
        <v>0</v>
      </c>
      <c r="H5" s="8">
        <v>0</v>
      </c>
      <c r="I5" s="8">
        <v>1506203</v>
      </c>
      <c r="J5" s="8">
        <v>0</v>
      </c>
      <c r="K5" s="58">
        <f>SUM(I5:J5)</f>
        <v>1506203</v>
      </c>
    </row>
    <row r="6" spans="1:11" ht="14.95" customHeight="1" x14ac:dyDescent="0.25">
      <c r="A6" s="7" t="s">
        <v>8</v>
      </c>
      <c r="B6" s="29"/>
      <c r="C6" s="10">
        <f>475.74+167.01+1065.77</f>
        <v>1708.52</v>
      </c>
      <c r="D6" s="10">
        <v>-789.78</v>
      </c>
      <c r="E6" s="8">
        <f>57.17+67.31+329.6+44.57+79.79</f>
        <v>578.44000000000005</v>
      </c>
      <c r="F6" s="100">
        <f>SUM(C6:E6)+199.95</f>
        <v>1697.13</v>
      </c>
      <c r="G6" s="8">
        <v>18674.34</v>
      </c>
      <c r="H6" s="8">
        <f>115.82+36.42+353.45</f>
        <v>505.69</v>
      </c>
      <c r="I6" s="8">
        <v>261941</v>
      </c>
      <c r="J6" s="8">
        <f>2083.62</f>
        <v>2083.62</v>
      </c>
      <c r="K6" s="58">
        <f t="shared" ref="K6:K55" si="0">SUM(I6:J6)</f>
        <v>264024.62</v>
      </c>
    </row>
    <row r="7" spans="1:11" ht="14.95" customHeight="1" x14ac:dyDescent="0.25">
      <c r="A7" s="9" t="s">
        <v>9</v>
      </c>
      <c r="B7" s="31"/>
      <c r="C7" s="10">
        <v>0</v>
      </c>
      <c r="D7" s="10">
        <v>0</v>
      </c>
      <c r="E7" s="8">
        <v>0</v>
      </c>
      <c r="F7" s="100">
        <f>SUM(C7:E7)</f>
        <v>0</v>
      </c>
      <c r="G7" s="8">
        <v>883</v>
      </c>
      <c r="H7" s="8">
        <v>0</v>
      </c>
      <c r="I7" s="8">
        <v>10620</v>
      </c>
      <c r="J7" s="8">
        <v>0</v>
      </c>
      <c r="K7" s="58">
        <f t="shared" si="0"/>
        <v>10620</v>
      </c>
    </row>
    <row r="8" spans="1:11" ht="14.95" customHeight="1" thickBot="1" x14ac:dyDescent="0.3">
      <c r="A8" s="11" t="s">
        <v>10</v>
      </c>
      <c r="B8" s="27"/>
      <c r="C8" s="12">
        <f>7933.14</f>
        <v>7933.14</v>
      </c>
      <c r="D8" s="12">
        <v>-8922</v>
      </c>
      <c r="E8" s="15">
        <f>6072.39+9267.92+2163.34</f>
        <v>17503.650000000001</v>
      </c>
      <c r="F8" s="163">
        <f>SUM(C8:E8)</f>
        <v>16514.79</v>
      </c>
      <c r="G8" s="15">
        <v>16983.009999999998</v>
      </c>
      <c r="H8" s="15">
        <f>1597.69+1263.7+4272.07</f>
        <v>7133.46</v>
      </c>
      <c r="I8" s="15">
        <v>276459.18</v>
      </c>
      <c r="J8" s="15">
        <v>0</v>
      </c>
      <c r="K8" s="72">
        <f t="shared" si="0"/>
        <v>276459.18</v>
      </c>
    </row>
    <row r="9" spans="1:11" ht="16.5" customHeight="1" thickBot="1" x14ac:dyDescent="0.3">
      <c r="A9" s="13" t="s">
        <v>11</v>
      </c>
      <c r="B9" s="116"/>
      <c r="C9" s="59">
        <f t="shared" ref="C9:G9" si="1">SUM(C5:C8)</f>
        <v>9641.66</v>
      </c>
      <c r="D9" s="59">
        <f t="shared" si="1"/>
        <v>10051.720000000001</v>
      </c>
      <c r="E9" s="59">
        <f t="shared" si="1"/>
        <v>18082.09</v>
      </c>
      <c r="F9" s="104">
        <f t="shared" si="1"/>
        <v>37975.42</v>
      </c>
      <c r="G9" s="59">
        <f t="shared" si="1"/>
        <v>36540.35</v>
      </c>
      <c r="H9" s="59">
        <f>SUM(H5:H8)</f>
        <v>7639.15</v>
      </c>
      <c r="I9" s="59">
        <f>SUM(I5:I8)</f>
        <v>2055223.18</v>
      </c>
      <c r="J9" s="59">
        <f>SUM(J5:J8)</f>
        <v>2083.62</v>
      </c>
      <c r="K9" s="94">
        <f>SUM(I9:J9)</f>
        <v>2057306.8</v>
      </c>
    </row>
    <row r="10" spans="1:11" ht="12.75" customHeight="1" thickBot="1" x14ac:dyDescent="0.3">
      <c r="A10" s="14"/>
      <c r="B10" s="50"/>
      <c r="C10" s="15"/>
      <c r="D10" s="15"/>
      <c r="E10" s="15"/>
      <c r="F10" s="163"/>
      <c r="G10" s="15"/>
      <c r="H10" s="15"/>
      <c r="I10" s="15"/>
      <c r="J10" s="15"/>
      <c r="K10" s="72"/>
    </row>
    <row r="11" spans="1:11" ht="14.95" customHeight="1" thickBot="1" x14ac:dyDescent="0.3">
      <c r="A11" s="16" t="s">
        <v>12</v>
      </c>
      <c r="B11" s="46"/>
      <c r="C11" s="17"/>
      <c r="D11" s="17"/>
      <c r="E11" s="17"/>
      <c r="F11" s="105"/>
      <c r="G11" s="17"/>
      <c r="H11" s="17"/>
      <c r="I11" s="17"/>
      <c r="J11" s="17"/>
      <c r="K11" s="96"/>
    </row>
    <row r="12" spans="1:11" ht="14.95" customHeight="1" x14ac:dyDescent="0.25">
      <c r="A12" s="7" t="s">
        <v>13</v>
      </c>
      <c r="B12" s="29"/>
      <c r="C12" s="8">
        <f>24.46+483.3+178.41</f>
        <v>686.17</v>
      </c>
      <c r="D12" s="8">
        <v>88366.47</v>
      </c>
      <c r="E12" s="8">
        <v>0</v>
      </c>
      <c r="F12" s="100">
        <f t="shared" ref="F12:F19" si="2">SUM(C12:E12)</f>
        <v>89052.64</v>
      </c>
      <c r="G12" s="8">
        <v>0</v>
      </c>
      <c r="H12" s="8">
        <v>0</v>
      </c>
      <c r="I12" s="8">
        <v>417499.09</v>
      </c>
      <c r="J12" s="8">
        <f>162.06</f>
        <v>162.06</v>
      </c>
      <c r="K12" s="58">
        <f>SUM(I12:J12)</f>
        <v>417661.15</v>
      </c>
    </row>
    <row r="13" spans="1:11" ht="14.95" customHeight="1" x14ac:dyDescent="0.25">
      <c r="A13" s="9" t="s">
        <v>14</v>
      </c>
      <c r="B13" s="31"/>
      <c r="C13" s="10">
        <v>0</v>
      </c>
      <c r="D13" s="10">
        <v>139247.65</v>
      </c>
      <c r="E13" s="8">
        <v>0</v>
      </c>
      <c r="F13" s="100">
        <f t="shared" si="2"/>
        <v>139247.65</v>
      </c>
      <c r="G13" s="8">
        <v>0</v>
      </c>
      <c r="H13" s="8">
        <v>0</v>
      </c>
      <c r="I13" s="8">
        <v>33444.199999999997</v>
      </c>
      <c r="J13" s="8">
        <v>0</v>
      </c>
      <c r="K13" s="58">
        <f t="shared" si="0"/>
        <v>33444.199999999997</v>
      </c>
    </row>
    <row r="14" spans="1:11" ht="14.95" customHeight="1" x14ac:dyDescent="0.25">
      <c r="A14" s="9" t="s">
        <v>15</v>
      </c>
      <c r="B14" s="31"/>
      <c r="C14" s="10">
        <v>0</v>
      </c>
      <c r="D14" s="10">
        <v>0</v>
      </c>
      <c r="E14" s="8">
        <v>0</v>
      </c>
      <c r="F14" s="100">
        <f t="shared" si="2"/>
        <v>0</v>
      </c>
      <c r="G14" s="8">
        <v>0</v>
      </c>
      <c r="H14" s="8">
        <v>0</v>
      </c>
      <c r="I14" s="8">
        <v>15262</v>
      </c>
      <c r="J14" s="8">
        <v>0</v>
      </c>
      <c r="K14" s="58">
        <f t="shared" si="0"/>
        <v>15262</v>
      </c>
    </row>
    <row r="15" spans="1:11" ht="27" customHeight="1" x14ac:dyDescent="0.25">
      <c r="A15" s="9" t="s">
        <v>16</v>
      </c>
      <c r="B15" s="31"/>
      <c r="C15" s="10">
        <v>0</v>
      </c>
      <c r="D15" s="10">
        <v>-930</v>
      </c>
      <c r="E15" s="8">
        <v>0</v>
      </c>
      <c r="F15" s="100">
        <f t="shared" si="2"/>
        <v>-930</v>
      </c>
      <c r="G15" s="8">
        <v>0</v>
      </c>
      <c r="H15" s="8">
        <v>0</v>
      </c>
      <c r="I15" s="8">
        <v>0</v>
      </c>
      <c r="J15" s="8">
        <v>0</v>
      </c>
      <c r="K15" s="58">
        <f t="shared" si="0"/>
        <v>0</v>
      </c>
    </row>
    <row r="16" spans="1:11" ht="14.95" customHeight="1" x14ac:dyDescent="0.25">
      <c r="A16" s="9" t="s">
        <v>17</v>
      </c>
      <c r="B16" s="31"/>
      <c r="C16" s="56">
        <v>0</v>
      </c>
      <c r="D16" s="56">
        <v>0</v>
      </c>
      <c r="E16" s="57">
        <v>0</v>
      </c>
      <c r="F16" s="100">
        <f t="shared" si="2"/>
        <v>0</v>
      </c>
      <c r="G16" s="8">
        <v>0</v>
      </c>
      <c r="H16" s="8">
        <v>0</v>
      </c>
      <c r="I16" s="8">
        <v>0</v>
      </c>
      <c r="J16" s="8">
        <v>0</v>
      </c>
      <c r="K16" s="58">
        <f t="shared" si="0"/>
        <v>0</v>
      </c>
    </row>
    <row r="17" spans="1:11" ht="14.95" customHeight="1" x14ac:dyDescent="0.25">
      <c r="A17" s="9" t="s">
        <v>18</v>
      </c>
      <c r="B17" s="31"/>
      <c r="C17" s="10">
        <v>0</v>
      </c>
      <c r="D17" s="10">
        <v>0</v>
      </c>
      <c r="E17" s="8">
        <v>0</v>
      </c>
      <c r="F17" s="100">
        <f t="shared" si="2"/>
        <v>0</v>
      </c>
      <c r="G17" s="8">
        <v>0</v>
      </c>
      <c r="H17" s="8">
        <v>0</v>
      </c>
      <c r="I17" s="8">
        <v>3000</v>
      </c>
      <c r="J17" s="8">
        <v>0</v>
      </c>
      <c r="K17" s="58">
        <f t="shared" si="0"/>
        <v>3000</v>
      </c>
    </row>
    <row r="18" spans="1:11" ht="14.95" customHeight="1" x14ac:dyDescent="0.25">
      <c r="A18" s="19" t="s">
        <v>19</v>
      </c>
      <c r="B18" s="31"/>
      <c r="C18" s="56">
        <v>0</v>
      </c>
      <c r="D18" s="56">
        <v>0</v>
      </c>
      <c r="E18" s="57">
        <v>0</v>
      </c>
      <c r="F18" s="100">
        <f t="shared" si="2"/>
        <v>0</v>
      </c>
      <c r="G18" s="8">
        <v>0</v>
      </c>
      <c r="H18" s="8">
        <v>0</v>
      </c>
      <c r="I18" s="8">
        <v>0</v>
      </c>
      <c r="J18" s="8">
        <v>0</v>
      </c>
      <c r="K18" s="58">
        <f t="shared" si="0"/>
        <v>0</v>
      </c>
    </row>
    <row r="19" spans="1:11" ht="14.95" customHeight="1" thickBot="1" x14ac:dyDescent="0.3">
      <c r="A19" s="11" t="s">
        <v>20</v>
      </c>
      <c r="B19" s="27"/>
      <c r="C19" s="63">
        <v>0</v>
      </c>
      <c r="D19" s="63">
        <v>0</v>
      </c>
      <c r="E19" s="60">
        <v>0</v>
      </c>
      <c r="F19" s="163">
        <f t="shared" si="2"/>
        <v>0</v>
      </c>
      <c r="G19" s="15">
        <v>0</v>
      </c>
      <c r="H19" s="15">
        <v>0</v>
      </c>
      <c r="I19" s="15">
        <v>0</v>
      </c>
      <c r="J19" s="15">
        <v>0</v>
      </c>
      <c r="K19" s="72">
        <f t="shared" si="0"/>
        <v>0</v>
      </c>
    </row>
    <row r="20" spans="1:11" ht="15.8" customHeight="1" thickBot="1" x14ac:dyDescent="0.3">
      <c r="A20" s="16" t="s">
        <v>21</v>
      </c>
      <c r="B20" s="47"/>
      <c r="C20" s="61">
        <f t="shared" ref="C20:H20" si="3">SUM(C12:C19)</f>
        <v>686.17</v>
      </c>
      <c r="D20" s="61">
        <f t="shared" si="3"/>
        <v>226684.12</v>
      </c>
      <c r="E20" s="61">
        <f t="shared" si="3"/>
        <v>0</v>
      </c>
      <c r="F20" s="106">
        <f t="shared" si="3"/>
        <v>227370.28999999998</v>
      </c>
      <c r="G20" s="61">
        <f t="shared" si="3"/>
        <v>0</v>
      </c>
      <c r="H20" s="61">
        <f t="shared" si="3"/>
        <v>0</v>
      </c>
      <c r="I20" s="61">
        <f>SUM(I12:I19)</f>
        <v>469205.29000000004</v>
      </c>
      <c r="J20" s="61">
        <f>SUM(J12:J19)</f>
        <v>162.06</v>
      </c>
      <c r="K20" s="95">
        <f t="shared" si="0"/>
        <v>469367.35000000003</v>
      </c>
    </row>
    <row r="21" spans="1:11" ht="17.5" customHeight="1" thickBot="1" x14ac:dyDescent="0.3">
      <c r="A21" s="20" t="s">
        <v>22</v>
      </c>
      <c r="B21" s="48"/>
      <c r="C21" s="62">
        <f>SUM(C9+C20)</f>
        <v>10327.83</v>
      </c>
      <c r="D21" s="62">
        <f>SUM(D9+D20)</f>
        <v>236735.84</v>
      </c>
      <c r="E21" s="62">
        <f>SUM(E9+E20)</f>
        <v>18082.09</v>
      </c>
      <c r="F21" s="107">
        <f>SUM(F9+F20)</f>
        <v>265345.70999999996</v>
      </c>
      <c r="G21" s="62">
        <f>G9+G20</f>
        <v>36540.35</v>
      </c>
      <c r="H21" s="62">
        <f>SUM(H9+H20)</f>
        <v>7639.15</v>
      </c>
      <c r="I21" s="62">
        <f>I9+I20</f>
        <v>2524428.4699999997</v>
      </c>
      <c r="J21" s="62">
        <f>J9+J20</f>
        <v>2245.6799999999998</v>
      </c>
      <c r="K21" s="97">
        <f>SUM(I21:J21)</f>
        <v>2526674.15</v>
      </c>
    </row>
    <row r="22" spans="1:11" ht="11.25" customHeight="1" thickBot="1" x14ac:dyDescent="0.3">
      <c r="A22" s="14"/>
      <c r="B22" s="50"/>
      <c r="C22" s="15"/>
      <c r="D22" s="15"/>
      <c r="E22" s="15"/>
      <c r="F22" s="163"/>
      <c r="G22" s="15"/>
      <c r="H22" s="15"/>
      <c r="I22" s="15"/>
      <c r="J22" s="15"/>
      <c r="K22" s="72"/>
    </row>
    <row r="23" spans="1:11" ht="14.95" customHeight="1" thickBot="1" x14ac:dyDescent="0.3">
      <c r="A23" s="21" t="s">
        <v>23</v>
      </c>
      <c r="B23" s="117"/>
      <c r="C23" s="22"/>
      <c r="D23" s="22"/>
      <c r="E23" s="22"/>
      <c r="F23" s="108"/>
      <c r="G23" s="22"/>
      <c r="H23" s="22"/>
      <c r="I23" s="22"/>
      <c r="J23" s="22"/>
      <c r="K23" s="93"/>
    </row>
    <row r="24" spans="1:11" ht="14.95" customHeight="1" thickBot="1" x14ac:dyDescent="0.3">
      <c r="A24" s="23" t="s">
        <v>233</v>
      </c>
      <c r="B24" s="32"/>
      <c r="C24" s="24">
        <f t="shared" ref="C24:H24" si="4">SUM(C30:C30)</f>
        <v>-395</v>
      </c>
      <c r="D24" s="24">
        <f t="shared" si="4"/>
        <v>200</v>
      </c>
      <c r="E24" s="24">
        <f t="shared" si="4"/>
        <v>-250</v>
      </c>
      <c r="F24" s="160">
        <f t="shared" si="4"/>
        <v>-445</v>
      </c>
      <c r="G24" s="24">
        <f t="shared" si="4"/>
        <v>0</v>
      </c>
      <c r="H24" s="24">
        <f t="shared" si="4"/>
        <v>-50</v>
      </c>
      <c r="I24" s="24">
        <f>SUM(I26:I30)</f>
        <v>10742</v>
      </c>
      <c r="J24" s="24">
        <f>SUM(J26:J30)</f>
        <v>0</v>
      </c>
      <c r="K24" s="161">
        <f>SUM(I24:J24)</f>
        <v>10742</v>
      </c>
    </row>
    <row r="25" spans="1:11" ht="12.9" customHeight="1" x14ac:dyDescent="0.25">
      <c r="A25" s="25" t="s">
        <v>24</v>
      </c>
      <c r="B25" s="149"/>
      <c r="C25" s="8"/>
      <c r="D25" s="8"/>
      <c r="E25" s="8"/>
      <c r="F25" s="100"/>
      <c r="G25" s="8"/>
      <c r="H25" s="8"/>
      <c r="I25" s="8"/>
      <c r="J25" s="8"/>
      <c r="K25" s="58"/>
    </row>
    <row r="26" spans="1:11" ht="54.35" x14ac:dyDescent="0.25">
      <c r="A26" s="25" t="s">
        <v>274</v>
      </c>
      <c r="B26" s="149" t="s">
        <v>278</v>
      </c>
      <c r="C26" s="8"/>
      <c r="D26" s="8"/>
      <c r="E26" s="8"/>
      <c r="F26" s="100"/>
      <c r="G26" s="8"/>
      <c r="H26" s="8"/>
      <c r="I26" s="8">
        <v>0</v>
      </c>
      <c r="J26" s="8">
        <f>50</f>
        <v>50</v>
      </c>
      <c r="K26" s="58">
        <f>I26+J26</f>
        <v>50</v>
      </c>
    </row>
    <row r="27" spans="1:11" ht="27.2" x14ac:dyDescent="0.25">
      <c r="A27" s="25" t="s">
        <v>275</v>
      </c>
      <c r="B27" s="149" t="s">
        <v>279</v>
      </c>
      <c r="C27" s="8"/>
      <c r="D27" s="8"/>
      <c r="E27" s="8"/>
      <c r="F27" s="100"/>
      <c r="G27" s="8"/>
      <c r="H27" s="8"/>
      <c r="I27" s="8">
        <v>0</v>
      </c>
      <c r="J27" s="8">
        <f>30</f>
        <v>30</v>
      </c>
      <c r="K27" s="58">
        <f t="shared" ref="K27:K29" si="5">I27+J27</f>
        <v>30</v>
      </c>
    </row>
    <row r="28" spans="1:11" ht="12.9" customHeight="1" x14ac:dyDescent="0.25">
      <c r="A28" s="25" t="s">
        <v>276</v>
      </c>
      <c r="B28" s="149" t="s">
        <v>279</v>
      </c>
      <c r="C28" s="8"/>
      <c r="D28" s="8"/>
      <c r="E28" s="8"/>
      <c r="F28" s="100"/>
      <c r="G28" s="8"/>
      <c r="H28" s="8"/>
      <c r="I28" s="8">
        <v>0</v>
      </c>
      <c r="J28" s="8">
        <f>13</f>
        <v>13</v>
      </c>
      <c r="K28" s="58">
        <f t="shared" si="5"/>
        <v>13</v>
      </c>
    </row>
    <row r="29" spans="1:11" ht="12.9" customHeight="1" x14ac:dyDescent="0.25">
      <c r="A29" s="25" t="s">
        <v>277</v>
      </c>
      <c r="B29" s="149" t="s">
        <v>280</v>
      </c>
      <c r="C29" s="8"/>
      <c r="D29" s="8"/>
      <c r="E29" s="8"/>
      <c r="F29" s="100"/>
      <c r="G29" s="8"/>
      <c r="H29" s="8"/>
      <c r="I29" s="8">
        <v>0</v>
      </c>
      <c r="J29" s="8">
        <f>11</f>
        <v>11</v>
      </c>
      <c r="K29" s="58">
        <f t="shared" si="5"/>
        <v>11</v>
      </c>
    </row>
    <row r="30" spans="1:11" ht="17.149999999999999" customHeight="1" thickBot="1" x14ac:dyDescent="0.3">
      <c r="A30" s="26" t="s">
        <v>230</v>
      </c>
      <c r="B30" s="51"/>
      <c r="C30" s="12">
        <f>-125-160-110</f>
        <v>-395</v>
      </c>
      <c r="D30" s="12">
        <v>200</v>
      </c>
      <c r="E30" s="12">
        <f>-80-120-50</f>
        <v>-250</v>
      </c>
      <c r="F30" s="111">
        <f t="shared" ref="F30" si="6">SUM(C30:E30)</f>
        <v>-445</v>
      </c>
      <c r="G30" s="12">
        <v>0</v>
      </c>
      <c r="H30" s="12">
        <f>-30-20</f>
        <v>-50</v>
      </c>
      <c r="I30" s="12">
        <v>10742</v>
      </c>
      <c r="J30" s="12">
        <f>-104</f>
        <v>-104</v>
      </c>
      <c r="K30" s="184">
        <f>SUM(I30:J30)</f>
        <v>10638</v>
      </c>
    </row>
    <row r="31" spans="1:11" ht="15.65" customHeight="1" thickBot="1" x14ac:dyDescent="0.3">
      <c r="A31" s="23" t="s">
        <v>25</v>
      </c>
      <c r="B31" s="32"/>
      <c r="C31" s="113">
        <f t="shared" ref="C31:H31" si="7">SUM(C33:C35)</f>
        <v>0</v>
      </c>
      <c r="D31" s="113">
        <f t="shared" si="7"/>
        <v>0</v>
      </c>
      <c r="E31" s="113">
        <f t="shared" si="7"/>
        <v>29.749999999999993</v>
      </c>
      <c r="F31" s="114">
        <f t="shared" si="7"/>
        <v>-20.850000000000009</v>
      </c>
      <c r="G31" s="113">
        <f t="shared" si="7"/>
        <v>0</v>
      </c>
      <c r="H31" s="113">
        <f t="shared" si="7"/>
        <v>1039.58</v>
      </c>
      <c r="I31" s="24">
        <f>SUM(I33:I35)</f>
        <v>427293</v>
      </c>
      <c r="J31" s="24">
        <f>SUM(J33:J35)</f>
        <v>0</v>
      </c>
      <c r="K31" s="161">
        <f t="shared" si="0"/>
        <v>427293</v>
      </c>
    </row>
    <row r="32" spans="1:11" ht="14.95" customHeight="1" x14ac:dyDescent="0.25">
      <c r="A32" s="25" t="s">
        <v>24</v>
      </c>
      <c r="B32" s="126"/>
      <c r="C32" s="8"/>
      <c r="D32" s="8"/>
      <c r="E32" s="8"/>
      <c r="F32" s="100"/>
      <c r="G32" s="8"/>
      <c r="H32" s="8"/>
      <c r="I32" s="8"/>
      <c r="J32" s="8"/>
      <c r="K32" s="58"/>
    </row>
    <row r="33" spans="1:11" ht="14.95" customHeight="1" x14ac:dyDescent="0.25">
      <c r="A33" s="30" t="s">
        <v>26</v>
      </c>
      <c r="B33" s="34"/>
      <c r="C33" s="10">
        <v>0</v>
      </c>
      <c r="D33" s="10">
        <v>0</v>
      </c>
      <c r="E33" s="10">
        <f>26.45+44.57+18.63</f>
        <v>89.649999999999991</v>
      </c>
      <c r="F33" s="100">
        <f>SUM(C33:E33)</f>
        <v>89.649999999999991</v>
      </c>
      <c r="G33" s="8">
        <v>0</v>
      </c>
      <c r="H33" s="8">
        <v>0</v>
      </c>
      <c r="I33" s="8">
        <v>700</v>
      </c>
      <c r="J33" s="8">
        <v>0</v>
      </c>
      <c r="K33" s="58">
        <f t="shared" si="0"/>
        <v>700</v>
      </c>
    </row>
    <row r="34" spans="1:11" ht="14.95" customHeight="1" x14ac:dyDescent="0.25">
      <c r="A34" s="30" t="s">
        <v>27</v>
      </c>
      <c r="B34" s="34"/>
      <c r="C34" s="10">
        <v>0</v>
      </c>
      <c r="D34" s="10">
        <v>0</v>
      </c>
      <c r="E34" s="10">
        <v>0</v>
      </c>
      <c r="F34" s="100">
        <f>SUM(C34:E34)</f>
        <v>0</v>
      </c>
      <c r="G34" s="8">
        <v>0</v>
      </c>
      <c r="H34" s="8">
        <v>0</v>
      </c>
      <c r="I34" s="8">
        <v>14942</v>
      </c>
      <c r="J34" s="8">
        <v>0</v>
      </c>
      <c r="K34" s="58">
        <f t="shared" si="0"/>
        <v>14942</v>
      </c>
    </row>
    <row r="35" spans="1:11" ht="14.95" customHeight="1" thickBot="1" x14ac:dyDescent="0.3">
      <c r="A35" s="26" t="s">
        <v>28</v>
      </c>
      <c r="B35" s="51"/>
      <c r="C35" s="12">
        <v>0</v>
      </c>
      <c r="D35" s="12">
        <v>0</v>
      </c>
      <c r="E35" s="12">
        <f>-59.9</f>
        <v>-59.9</v>
      </c>
      <c r="F35" s="111">
        <f>SUM(C35:E35)-50.6</f>
        <v>-110.5</v>
      </c>
      <c r="G35" s="12">
        <v>0</v>
      </c>
      <c r="H35" s="12">
        <f>1136.3-96.72</f>
        <v>1039.58</v>
      </c>
      <c r="I35" s="12">
        <v>411651</v>
      </c>
      <c r="J35" s="12">
        <v>0</v>
      </c>
      <c r="K35" s="72">
        <f t="shared" si="0"/>
        <v>411651</v>
      </c>
    </row>
    <row r="36" spans="1:11" ht="15.65" customHeight="1" thickBot="1" x14ac:dyDescent="0.3">
      <c r="A36" s="23" t="s">
        <v>29</v>
      </c>
      <c r="B36" s="32"/>
      <c r="C36" s="24">
        <f t="shared" ref="C36:H36" si="8">SUM(C38:C43)</f>
        <v>483.3</v>
      </c>
      <c r="D36" s="24">
        <f t="shared" si="8"/>
        <v>19763.5</v>
      </c>
      <c r="E36" s="24">
        <f t="shared" si="8"/>
        <v>0</v>
      </c>
      <c r="F36" s="110">
        <f t="shared" si="8"/>
        <v>20246.8</v>
      </c>
      <c r="G36" s="24">
        <f t="shared" si="8"/>
        <v>6086.35</v>
      </c>
      <c r="H36" s="24">
        <f t="shared" si="8"/>
        <v>0</v>
      </c>
      <c r="I36" s="24">
        <f>SUM(I38:I43)</f>
        <v>85515.5</v>
      </c>
      <c r="J36" s="24">
        <f>SUM(J38:J43)</f>
        <v>162.06</v>
      </c>
      <c r="K36" s="161">
        <f t="shared" si="0"/>
        <v>85677.56</v>
      </c>
    </row>
    <row r="37" spans="1:11" ht="14.95" customHeight="1" x14ac:dyDescent="0.25">
      <c r="A37" s="25" t="s">
        <v>24</v>
      </c>
      <c r="B37" s="126"/>
      <c r="C37" s="8"/>
      <c r="D37" s="8"/>
      <c r="E37" s="8"/>
      <c r="F37" s="100"/>
      <c r="G37" s="8"/>
      <c r="H37" s="8"/>
      <c r="I37" s="8"/>
      <c r="J37" s="8"/>
      <c r="K37" s="58"/>
    </row>
    <row r="38" spans="1:11" ht="14.95" customHeight="1" x14ac:dyDescent="0.25">
      <c r="A38" s="19" t="s">
        <v>30</v>
      </c>
      <c r="B38" s="149" t="s">
        <v>262</v>
      </c>
      <c r="C38" s="10">
        <f>25</f>
        <v>25</v>
      </c>
      <c r="D38" s="10">
        <v>0</v>
      </c>
      <c r="E38" s="10">
        <v>0</v>
      </c>
      <c r="F38" s="100">
        <f t="shared" ref="F38:F43" si="9">SUM(C38:E38)</f>
        <v>25</v>
      </c>
      <c r="G38" s="8">
        <v>0</v>
      </c>
      <c r="H38" s="8">
        <v>0</v>
      </c>
      <c r="I38" s="8">
        <v>25</v>
      </c>
      <c r="J38" s="8">
        <v>0</v>
      </c>
      <c r="K38" s="58">
        <f t="shared" si="0"/>
        <v>25</v>
      </c>
    </row>
    <row r="39" spans="1:11" ht="14.95" customHeight="1" x14ac:dyDescent="0.25">
      <c r="A39" s="30" t="s">
        <v>235</v>
      </c>
      <c r="B39" s="34" t="s">
        <v>263</v>
      </c>
      <c r="C39" s="10">
        <v>0</v>
      </c>
      <c r="D39" s="10">
        <v>0</v>
      </c>
      <c r="E39" s="10">
        <v>0</v>
      </c>
      <c r="F39" s="100">
        <f t="shared" si="9"/>
        <v>0</v>
      </c>
      <c r="G39" s="8">
        <v>4000</v>
      </c>
      <c r="H39" s="8">
        <v>0</v>
      </c>
      <c r="I39" s="8">
        <v>22000</v>
      </c>
      <c r="J39" s="8">
        <v>0</v>
      </c>
      <c r="K39" s="58">
        <f t="shared" si="0"/>
        <v>22000</v>
      </c>
    </row>
    <row r="40" spans="1:11" ht="14.95" customHeight="1" x14ac:dyDescent="0.25">
      <c r="A40" s="30" t="s">
        <v>31</v>
      </c>
      <c r="B40" s="34"/>
      <c r="C40" s="10">
        <v>0</v>
      </c>
      <c r="D40" s="10">
        <v>0</v>
      </c>
      <c r="E40" s="10">
        <v>0</v>
      </c>
      <c r="F40" s="100">
        <f t="shared" si="9"/>
        <v>0</v>
      </c>
      <c r="G40" s="8">
        <v>2086.35</v>
      </c>
      <c r="H40" s="10">
        <v>0</v>
      </c>
      <c r="I40" s="8">
        <v>5000</v>
      </c>
      <c r="J40" s="8">
        <v>0</v>
      </c>
      <c r="K40" s="58">
        <f t="shared" si="0"/>
        <v>5000</v>
      </c>
    </row>
    <row r="41" spans="1:11" ht="14.95" customHeight="1" x14ac:dyDescent="0.25">
      <c r="A41" s="30" t="s">
        <v>32</v>
      </c>
      <c r="B41" s="34"/>
      <c r="C41" s="10">
        <v>0</v>
      </c>
      <c r="D41" s="10">
        <v>0</v>
      </c>
      <c r="E41" s="10">
        <v>0</v>
      </c>
      <c r="F41" s="100">
        <f t="shared" si="9"/>
        <v>0</v>
      </c>
      <c r="G41" s="8">
        <v>0</v>
      </c>
      <c r="H41" s="8">
        <v>0</v>
      </c>
      <c r="I41" s="8">
        <v>200</v>
      </c>
      <c r="J41" s="8">
        <v>0</v>
      </c>
      <c r="K41" s="58">
        <f t="shared" si="0"/>
        <v>200</v>
      </c>
    </row>
    <row r="42" spans="1:11" ht="14.95" customHeight="1" x14ac:dyDescent="0.25">
      <c r="A42" s="30" t="s">
        <v>33</v>
      </c>
      <c r="B42" s="34"/>
      <c r="C42" s="10">
        <v>0</v>
      </c>
      <c r="D42" s="10">
        <v>0</v>
      </c>
      <c r="E42" s="10">
        <v>0</v>
      </c>
      <c r="F42" s="100">
        <f t="shared" si="9"/>
        <v>0</v>
      </c>
      <c r="G42" s="8">
        <v>0</v>
      </c>
      <c r="H42" s="8">
        <v>0</v>
      </c>
      <c r="I42" s="8">
        <v>1000</v>
      </c>
      <c r="J42" s="8">
        <v>0</v>
      </c>
      <c r="K42" s="58">
        <f t="shared" si="0"/>
        <v>1000</v>
      </c>
    </row>
    <row r="43" spans="1:11" ht="14.95" customHeight="1" thickBot="1" x14ac:dyDescent="0.3">
      <c r="A43" s="26" t="s">
        <v>34</v>
      </c>
      <c r="B43" s="51"/>
      <c r="C43" s="15">
        <f>458.3</f>
        <v>458.3</v>
      </c>
      <c r="D43" s="15">
        <v>19763.5</v>
      </c>
      <c r="E43" s="15">
        <v>0</v>
      </c>
      <c r="F43" s="163">
        <f t="shared" si="9"/>
        <v>20221.8</v>
      </c>
      <c r="G43" s="15">
        <v>0</v>
      </c>
      <c r="H43" s="15">
        <v>0</v>
      </c>
      <c r="I43" s="139">
        <v>57290.5</v>
      </c>
      <c r="J43" s="8">
        <f>162.06</f>
        <v>162.06</v>
      </c>
      <c r="K43" s="58">
        <f t="shared" si="0"/>
        <v>57452.56</v>
      </c>
    </row>
    <row r="44" spans="1:11" ht="15.65" customHeight="1" thickBot="1" x14ac:dyDescent="0.3">
      <c r="A44" s="23" t="s">
        <v>35</v>
      </c>
      <c r="B44" s="28"/>
      <c r="C44" s="24">
        <f t="shared" ref="C44:H44" si="10">SUM(C46:C47)</f>
        <v>-5092.71</v>
      </c>
      <c r="D44" s="24">
        <f t="shared" si="10"/>
        <v>16468.73</v>
      </c>
      <c r="E44" s="24">
        <f t="shared" si="10"/>
        <v>-2620.85</v>
      </c>
      <c r="F44" s="110">
        <f t="shared" si="10"/>
        <v>7762.6799999999994</v>
      </c>
      <c r="G44" s="24">
        <f t="shared" si="10"/>
        <v>437.15999999999985</v>
      </c>
      <c r="H44" s="24">
        <f t="shared" si="10"/>
        <v>-3015.4699999999993</v>
      </c>
      <c r="I44" s="24">
        <f>SUM(I46:I47)</f>
        <v>153636.95000000001</v>
      </c>
      <c r="J44" s="24">
        <f>SUM(J46:J47)</f>
        <v>-12671.72</v>
      </c>
      <c r="K44" s="159">
        <f t="shared" si="0"/>
        <v>140965.23000000001</v>
      </c>
    </row>
    <row r="45" spans="1:11" ht="14.95" customHeight="1" x14ac:dyDescent="0.25">
      <c r="A45" s="25" t="s">
        <v>24</v>
      </c>
      <c r="B45" s="126"/>
      <c r="C45" s="8"/>
      <c r="D45" s="8"/>
      <c r="E45" s="8"/>
      <c r="F45" s="100"/>
      <c r="G45" s="8"/>
      <c r="H45" s="8"/>
      <c r="I45" s="8"/>
      <c r="J45" s="8"/>
      <c r="K45" s="58"/>
    </row>
    <row r="46" spans="1:11" ht="14.95" customHeight="1" x14ac:dyDescent="0.25">
      <c r="A46" s="30" t="s">
        <v>26</v>
      </c>
      <c r="B46" s="34"/>
      <c r="C46" s="10">
        <f>-4985-1126.39+167.01+1105.13</f>
        <v>-4839.25</v>
      </c>
      <c r="D46" s="10">
        <v>15448.15</v>
      </c>
      <c r="E46" s="10">
        <f>-1132.37-1069.48-71-348</f>
        <v>-2620.85</v>
      </c>
      <c r="F46" s="100">
        <f>SUM(C46:E46)-962.49</f>
        <v>7025.5599999999995</v>
      </c>
      <c r="G46" s="8">
        <v>3957</v>
      </c>
      <c r="H46" s="8">
        <f>-983-3863.58-91+1026.34-327.12</f>
        <v>-4238.3599999999997</v>
      </c>
      <c r="I46" s="8">
        <v>59337</v>
      </c>
      <c r="J46" s="8">
        <f>-11425.46-1684</f>
        <v>-13109.46</v>
      </c>
      <c r="K46" s="58">
        <f t="shared" si="0"/>
        <v>46227.54</v>
      </c>
    </row>
    <row r="47" spans="1:11" ht="14.95" customHeight="1" thickBot="1" x14ac:dyDescent="0.3">
      <c r="A47" s="26" t="s">
        <v>36</v>
      </c>
      <c r="B47" s="51"/>
      <c r="C47" s="12">
        <f>-128-125.46</f>
        <v>-253.45999999999998</v>
      </c>
      <c r="D47" s="12">
        <v>1020.58</v>
      </c>
      <c r="E47" s="12">
        <v>0</v>
      </c>
      <c r="F47" s="111">
        <f>SUM(C47:E47)-30</f>
        <v>737.12000000000012</v>
      </c>
      <c r="G47" s="12">
        <v>-3519.84</v>
      </c>
      <c r="H47" s="15">
        <f>39.36+690.73+425.6+67.2</f>
        <v>1222.8900000000001</v>
      </c>
      <c r="I47" s="15">
        <v>94299.95</v>
      </c>
      <c r="J47" s="15">
        <f>637.74-200</f>
        <v>437.74</v>
      </c>
      <c r="K47" s="72">
        <f t="shared" si="0"/>
        <v>94737.69</v>
      </c>
    </row>
    <row r="48" spans="1:11" ht="15.65" customHeight="1" thickBot="1" x14ac:dyDescent="0.3">
      <c r="A48" s="23" t="s">
        <v>37</v>
      </c>
      <c r="B48" s="32"/>
      <c r="C48" s="24">
        <f t="shared" ref="C48:J48" si="11">SUM(C50:C51)</f>
        <v>0</v>
      </c>
      <c r="D48" s="24">
        <f t="shared" si="11"/>
        <v>0</v>
      </c>
      <c r="E48" s="24">
        <f t="shared" si="11"/>
        <v>0</v>
      </c>
      <c r="F48" s="110">
        <f t="shared" si="11"/>
        <v>0</v>
      </c>
      <c r="G48" s="24">
        <f t="shared" si="11"/>
        <v>0</v>
      </c>
      <c r="H48" s="24">
        <f t="shared" si="11"/>
        <v>0</v>
      </c>
      <c r="I48" s="24">
        <f t="shared" si="11"/>
        <v>1676</v>
      </c>
      <c r="J48" s="24">
        <f t="shared" si="11"/>
        <v>0</v>
      </c>
      <c r="K48" s="161">
        <f t="shared" si="0"/>
        <v>1676</v>
      </c>
    </row>
    <row r="49" spans="1:11" ht="14.95" customHeight="1" x14ac:dyDescent="0.25">
      <c r="A49" s="33" t="s">
        <v>24</v>
      </c>
      <c r="B49" s="126"/>
      <c r="C49" s="8"/>
      <c r="D49" s="8"/>
      <c r="E49" s="8"/>
      <c r="F49" s="100"/>
      <c r="G49" s="8"/>
      <c r="H49" s="8"/>
      <c r="I49" s="8"/>
      <c r="J49" s="8"/>
      <c r="K49" s="58"/>
    </row>
    <row r="50" spans="1:11" ht="14.95" customHeight="1" x14ac:dyDescent="0.25">
      <c r="A50" s="35" t="s">
        <v>26</v>
      </c>
      <c r="B50" s="34"/>
      <c r="C50" s="10">
        <v>0</v>
      </c>
      <c r="D50" s="10">
        <v>0</v>
      </c>
      <c r="E50" s="10">
        <v>0</v>
      </c>
      <c r="F50" s="100">
        <f>SUM(C50:E50)</f>
        <v>0</v>
      </c>
      <c r="G50" s="8">
        <v>0</v>
      </c>
      <c r="H50" s="8">
        <v>0</v>
      </c>
      <c r="I50" s="8">
        <v>66</v>
      </c>
      <c r="J50" s="8">
        <v>0</v>
      </c>
      <c r="K50" s="58">
        <f t="shared" si="0"/>
        <v>66</v>
      </c>
    </row>
    <row r="51" spans="1:11" ht="14.95" customHeight="1" x14ac:dyDescent="0.25">
      <c r="A51" s="35" t="s">
        <v>38</v>
      </c>
      <c r="B51" s="34"/>
      <c r="C51" s="10">
        <v>0</v>
      </c>
      <c r="D51" s="10">
        <v>0</v>
      </c>
      <c r="E51" s="10">
        <v>0</v>
      </c>
      <c r="F51" s="109">
        <f>SUM(C51:E51)</f>
        <v>0</v>
      </c>
      <c r="G51" s="10">
        <v>0</v>
      </c>
      <c r="H51" s="10">
        <v>0</v>
      </c>
      <c r="I51" s="10">
        <v>1610</v>
      </c>
      <c r="J51" s="10">
        <v>0</v>
      </c>
      <c r="K51" s="162">
        <f t="shared" si="0"/>
        <v>1610</v>
      </c>
    </row>
    <row r="52" spans="1:11" ht="19.55" customHeight="1" thickBot="1" x14ac:dyDescent="0.3">
      <c r="A52" s="171" t="s">
        <v>39</v>
      </c>
      <c r="B52" s="185"/>
      <c r="C52" s="125">
        <f t="shared" ref="C52:J52" si="12">SUM(C54:C134)</f>
        <v>-256.50000000000011</v>
      </c>
      <c r="D52" s="125">
        <f t="shared" si="12"/>
        <v>5402.6799999999994</v>
      </c>
      <c r="E52" s="125">
        <f t="shared" si="12"/>
        <v>-99.029999999999973</v>
      </c>
      <c r="F52" s="172">
        <f t="shared" si="12"/>
        <v>5144.7999999999993</v>
      </c>
      <c r="G52" s="125">
        <f t="shared" si="12"/>
        <v>1830</v>
      </c>
      <c r="H52" s="125">
        <f t="shared" si="12"/>
        <v>-111.36000000000001</v>
      </c>
      <c r="I52" s="125">
        <f t="shared" si="12"/>
        <v>432734</v>
      </c>
      <c r="J52" s="125">
        <f t="shared" si="12"/>
        <v>2383.62</v>
      </c>
      <c r="K52" s="170">
        <f t="shared" si="0"/>
        <v>435117.62</v>
      </c>
    </row>
    <row r="53" spans="1:11" ht="14.95" customHeight="1" x14ac:dyDescent="0.25">
      <c r="A53" s="38" t="s">
        <v>24</v>
      </c>
      <c r="B53" s="126"/>
      <c r="C53" s="8"/>
      <c r="D53" s="8"/>
      <c r="E53" s="8"/>
      <c r="F53" s="100"/>
      <c r="G53" s="8"/>
      <c r="H53" s="8"/>
      <c r="I53" s="8"/>
      <c r="J53" s="8"/>
      <c r="K53" s="58"/>
    </row>
    <row r="54" spans="1:11" ht="14.95" customHeight="1" x14ac:dyDescent="0.25">
      <c r="A54" s="35" t="s">
        <v>26</v>
      </c>
      <c r="B54" s="34"/>
      <c r="C54" s="10">
        <f>-120</f>
        <v>-120</v>
      </c>
      <c r="D54" s="10">
        <v>1500</v>
      </c>
      <c r="E54" s="10">
        <f>-70-150+800</f>
        <v>580</v>
      </c>
      <c r="F54" s="100">
        <f>SUM(C54:E54)+200</f>
        <v>2160</v>
      </c>
      <c r="G54" s="8">
        <v>0</v>
      </c>
      <c r="H54" s="8">
        <f>-70</f>
        <v>-70</v>
      </c>
      <c r="I54" s="8">
        <v>5050</v>
      </c>
      <c r="J54" s="8">
        <v>0</v>
      </c>
      <c r="K54" s="58">
        <f t="shared" si="0"/>
        <v>5050</v>
      </c>
    </row>
    <row r="55" spans="1:11" ht="14.95" customHeight="1" x14ac:dyDescent="0.25">
      <c r="A55" s="35" t="s">
        <v>40</v>
      </c>
      <c r="B55" s="34" t="s">
        <v>41</v>
      </c>
      <c r="C55" s="10">
        <v>0</v>
      </c>
      <c r="D55" s="10">
        <v>0</v>
      </c>
      <c r="E55" s="10">
        <v>0</v>
      </c>
      <c r="F55" s="100">
        <f t="shared" ref="F55:F64" si="13">SUM(C55:E55)</f>
        <v>0</v>
      </c>
      <c r="G55" s="8">
        <v>0</v>
      </c>
      <c r="H55" s="8">
        <v>0</v>
      </c>
      <c r="I55" s="8">
        <v>7000</v>
      </c>
      <c r="J55" s="8">
        <v>0</v>
      </c>
      <c r="K55" s="58">
        <f t="shared" si="0"/>
        <v>7000</v>
      </c>
    </row>
    <row r="56" spans="1:11" ht="25.5" customHeight="1" x14ac:dyDescent="0.25">
      <c r="A56" s="9" t="s">
        <v>206</v>
      </c>
      <c r="B56" s="34" t="s">
        <v>42</v>
      </c>
      <c r="C56" s="56">
        <v>0</v>
      </c>
      <c r="D56" s="56">
        <v>0</v>
      </c>
      <c r="E56" s="56">
        <v>0</v>
      </c>
      <c r="F56" s="100">
        <f t="shared" si="13"/>
        <v>0</v>
      </c>
      <c r="G56" s="8">
        <v>0</v>
      </c>
      <c r="H56" s="8">
        <v>0</v>
      </c>
      <c r="I56" s="8">
        <v>55000</v>
      </c>
      <c r="J56" s="8">
        <v>0</v>
      </c>
      <c r="K56" s="58">
        <f t="shared" ref="K56:K77" si="14">SUM(I56:J56)</f>
        <v>55000</v>
      </c>
    </row>
    <row r="57" spans="1:11" ht="23.95" customHeight="1" x14ac:dyDescent="0.25">
      <c r="A57" s="9" t="s">
        <v>207</v>
      </c>
      <c r="B57" s="34" t="s">
        <v>43</v>
      </c>
      <c r="C57" s="10">
        <v>0</v>
      </c>
      <c r="D57" s="10">
        <v>0</v>
      </c>
      <c r="E57" s="10">
        <v>0</v>
      </c>
      <c r="F57" s="100">
        <f t="shared" si="13"/>
        <v>0</v>
      </c>
      <c r="G57" s="8">
        <v>0</v>
      </c>
      <c r="H57" s="8">
        <v>0</v>
      </c>
      <c r="I57" s="8">
        <v>1000</v>
      </c>
      <c r="J57" s="8">
        <v>0</v>
      </c>
      <c r="K57" s="58">
        <f t="shared" si="14"/>
        <v>1000</v>
      </c>
    </row>
    <row r="58" spans="1:11" ht="14.95" customHeight="1" x14ac:dyDescent="0.25">
      <c r="A58" s="35" t="s">
        <v>44</v>
      </c>
      <c r="B58" s="34" t="s">
        <v>247</v>
      </c>
      <c r="C58" s="10">
        <v>0</v>
      </c>
      <c r="D58" s="10">
        <v>70</v>
      </c>
      <c r="E58" s="10">
        <v>0</v>
      </c>
      <c r="F58" s="100">
        <f t="shared" si="13"/>
        <v>70</v>
      </c>
      <c r="G58" s="8">
        <v>140</v>
      </c>
      <c r="H58" s="8">
        <v>0</v>
      </c>
      <c r="I58" s="8">
        <v>8149</v>
      </c>
      <c r="J58" s="8">
        <v>0</v>
      </c>
      <c r="K58" s="58">
        <f t="shared" si="14"/>
        <v>8149</v>
      </c>
    </row>
    <row r="59" spans="1:11" ht="14.95" customHeight="1" x14ac:dyDescent="0.25">
      <c r="A59" s="35" t="s">
        <v>45</v>
      </c>
      <c r="B59" s="34" t="s">
        <v>247</v>
      </c>
      <c r="C59" s="10">
        <v>0</v>
      </c>
      <c r="D59" s="10">
        <v>287</v>
      </c>
      <c r="E59" s="10">
        <v>0</v>
      </c>
      <c r="F59" s="100">
        <f t="shared" si="13"/>
        <v>287</v>
      </c>
      <c r="G59" s="8">
        <v>126</v>
      </c>
      <c r="H59" s="8">
        <v>0</v>
      </c>
      <c r="I59" s="8">
        <v>11143</v>
      </c>
      <c r="J59" s="8">
        <v>0</v>
      </c>
      <c r="K59" s="58">
        <f t="shared" si="14"/>
        <v>11143</v>
      </c>
    </row>
    <row r="60" spans="1:11" ht="14.95" customHeight="1" x14ac:dyDescent="0.25">
      <c r="A60" s="9" t="s">
        <v>46</v>
      </c>
      <c r="B60" s="34" t="s">
        <v>247</v>
      </c>
      <c r="C60" s="10">
        <v>0</v>
      </c>
      <c r="D60" s="10">
        <v>40</v>
      </c>
      <c r="E60" s="10">
        <v>0</v>
      </c>
      <c r="F60" s="100">
        <f t="shared" si="13"/>
        <v>40</v>
      </c>
      <c r="G60" s="8">
        <v>0</v>
      </c>
      <c r="H60" s="8">
        <v>0</v>
      </c>
      <c r="I60" s="8">
        <v>1725</v>
      </c>
      <c r="J60" s="8">
        <v>0</v>
      </c>
      <c r="K60" s="58">
        <f t="shared" si="14"/>
        <v>1725</v>
      </c>
    </row>
    <row r="61" spans="1:11" ht="14.95" customHeight="1" x14ac:dyDescent="0.25">
      <c r="A61" s="9" t="s">
        <v>47</v>
      </c>
      <c r="B61" s="34" t="s">
        <v>247</v>
      </c>
      <c r="C61" s="10">
        <v>0</v>
      </c>
      <c r="D61" s="10">
        <v>155</v>
      </c>
      <c r="E61" s="10">
        <v>0</v>
      </c>
      <c r="F61" s="100">
        <f t="shared" si="13"/>
        <v>155</v>
      </c>
      <c r="G61" s="8">
        <v>0</v>
      </c>
      <c r="H61" s="8">
        <v>0</v>
      </c>
      <c r="I61" s="8">
        <v>10216</v>
      </c>
      <c r="J61" s="8">
        <v>0</v>
      </c>
      <c r="K61" s="58">
        <f t="shared" si="14"/>
        <v>10216</v>
      </c>
    </row>
    <row r="62" spans="1:11" ht="14.95" customHeight="1" x14ac:dyDescent="0.25">
      <c r="A62" s="35" t="s">
        <v>48</v>
      </c>
      <c r="B62" s="34" t="s">
        <v>247</v>
      </c>
      <c r="C62" s="10">
        <v>0</v>
      </c>
      <c r="D62" s="10">
        <v>115</v>
      </c>
      <c r="E62" s="10">
        <v>0</v>
      </c>
      <c r="F62" s="100">
        <f t="shared" si="13"/>
        <v>115</v>
      </c>
      <c r="G62" s="8">
        <v>0</v>
      </c>
      <c r="H62" s="8">
        <v>0</v>
      </c>
      <c r="I62" s="8">
        <v>9725</v>
      </c>
      <c r="J62" s="8">
        <v>0</v>
      </c>
      <c r="K62" s="58">
        <f t="shared" si="14"/>
        <v>9725</v>
      </c>
    </row>
    <row r="63" spans="1:11" ht="14.95" customHeight="1" x14ac:dyDescent="0.25">
      <c r="A63" s="35" t="s">
        <v>49</v>
      </c>
      <c r="B63" s="34" t="s">
        <v>247</v>
      </c>
      <c r="C63" s="10">
        <v>0</v>
      </c>
      <c r="D63" s="10">
        <v>40</v>
      </c>
      <c r="E63" s="10">
        <v>0</v>
      </c>
      <c r="F63" s="100">
        <f t="shared" si="13"/>
        <v>40</v>
      </c>
      <c r="G63" s="8">
        <v>0</v>
      </c>
      <c r="H63" s="8">
        <v>0</v>
      </c>
      <c r="I63" s="8">
        <v>1368</v>
      </c>
      <c r="J63" s="8">
        <v>0</v>
      </c>
      <c r="K63" s="58">
        <f t="shared" si="14"/>
        <v>1368</v>
      </c>
    </row>
    <row r="64" spans="1:11" ht="14.95" customHeight="1" x14ac:dyDescent="0.25">
      <c r="A64" s="35" t="s">
        <v>50</v>
      </c>
      <c r="B64" s="34" t="s">
        <v>247</v>
      </c>
      <c r="C64" s="10">
        <v>0</v>
      </c>
      <c r="D64" s="10">
        <v>40</v>
      </c>
      <c r="E64" s="10">
        <v>0</v>
      </c>
      <c r="F64" s="100">
        <f t="shared" si="13"/>
        <v>40</v>
      </c>
      <c r="G64" s="8">
        <v>0</v>
      </c>
      <c r="H64" s="8">
        <v>0</v>
      </c>
      <c r="I64" s="8">
        <v>343</v>
      </c>
      <c r="J64" s="8">
        <v>0</v>
      </c>
      <c r="K64" s="58">
        <f t="shared" si="14"/>
        <v>343</v>
      </c>
    </row>
    <row r="65" spans="1:11" ht="14.95" customHeight="1" x14ac:dyDescent="0.25">
      <c r="A65" s="35" t="s">
        <v>51</v>
      </c>
      <c r="B65" s="34" t="s">
        <v>247</v>
      </c>
      <c r="C65" s="10">
        <v>0</v>
      </c>
      <c r="D65" s="10">
        <v>392</v>
      </c>
      <c r="E65" s="10">
        <v>0</v>
      </c>
      <c r="F65" s="100">
        <f>SUM(C65:E65)</f>
        <v>392</v>
      </c>
      <c r="G65" s="8">
        <v>0</v>
      </c>
      <c r="H65" s="8">
        <v>0</v>
      </c>
      <c r="I65" s="8">
        <v>11255</v>
      </c>
      <c r="J65" s="8">
        <v>0</v>
      </c>
      <c r="K65" s="58">
        <f t="shared" si="14"/>
        <v>11255</v>
      </c>
    </row>
    <row r="66" spans="1:11" ht="14.95" customHeight="1" x14ac:dyDescent="0.25">
      <c r="A66" s="35" t="s">
        <v>52</v>
      </c>
      <c r="B66" s="34" t="s">
        <v>247</v>
      </c>
      <c r="C66" s="10">
        <v>0</v>
      </c>
      <c r="D66" s="10">
        <v>40</v>
      </c>
      <c r="E66" s="10">
        <v>0</v>
      </c>
      <c r="F66" s="100">
        <f>SUM(C66:E66)</f>
        <v>40</v>
      </c>
      <c r="G66" s="8">
        <v>0</v>
      </c>
      <c r="H66" s="8">
        <v>0</v>
      </c>
      <c r="I66" s="8">
        <v>385</v>
      </c>
      <c r="J66" s="8">
        <v>0</v>
      </c>
      <c r="K66" s="58">
        <f t="shared" si="14"/>
        <v>385</v>
      </c>
    </row>
    <row r="67" spans="1:11" ht="14.95" customHeight="1" x14ac:dyDescent="0.25">
      <c r="A67" s="35" t="s">
        <v>53</v>
      </c>
      <c r="B67" s="34" t="s">
        <v>247</v>
      </c>
      <c r="C67" s="10">
        <v>0</v>
      </c>
      <c r="D67" s="10">
        <v>72</v>
      </c>
      <c r="E67" s="10">
        <v>0</v>
      </c>
      <c r="F67" s="100">
        <f t="shared" ref="F67:F77" si="15">SUM(C67:E67)</f>
        <v>72</v>
      </c>
      <c r="G67" s="8">
        <v>0</v>
      </c>
      <c r="H67" s="8">
        <v>0</v>
      </c>
      <c r="I67" s="8">
        <v>9097</v>
      </c>
      <c r="J67" s="8">
        <v>0</v>
      </c>
      <c r="K67" s="58">
        <f t="shared" si="14"/>
        <v>9097</v>
      </c>
    </row>
    <row r="68" spans="1:11" ht="14.95" customHeight="1" x14ac:dyDescent="0.25">
      <c r="A68" s="35" t="s">
        <v>54</v>
      </c>
      <c r="B68" s="34" t="s">
        <v>247</v>
      </c>
      <c r="C68" s="10">
        <v>0</v>
      </c>
      <c r="D68" s="10">
        <v>105</v>
      </c>
      <c r="E68" s="10">
        <v>0</v>
      </c>
      <c r="F68" s="100">
        <f t="shared" si="15"/>
        <v>105</v>
      </c>
      <c r="G68" s="8">
        <v>0</v>
      </c>
      <c r="H68" s="8">
        <v>0</v>
      </c>
      <c r="I68" s="8">
        <v>6943</v>
      </c>
      <c r="J68" s="8">
        <v>0</v>
      </c>
      <c r="K68" s="58">
        <f t="shared" si="14"/>
        <v>6943</v>
      </c>
    </row>
    <row r="69" spans="1:11" ht="14.95" customHeight="1" x14ac:dyDescent="0.25">
      <c r="A69" s="9" t="s">
        <v>55</v>
      </c>
      <c r="B69" s="34" t="s">
        <v>247</v>
      </c>
      <c r="C69" s="10">
        <v>0</v>
      </c>
      <c r="D69" s="10">
        <v>988</v>
      </c>
      <c r="E69" s="10">
        <v>0</v>
      </c>
      <c r="F69" s="100">
        <f t="shared" si="15"/>
        <v>988</v>
      </c>
      <c r="G69" s="8">
        <v>0</v>
      </c>
      <c r="H69" s="8">
        <v>0</v>
      </c>
      <c r="I69" s="8">
        <v>20798</v>
      </c>
      <c r="J69" s="8">
        <v>0</v>
      </c>
      <c r="K69" s="58">
        <f t="shared" si="14"/>
        <v>20798</v>
      </c>
    </row>
    <row r="70" spans="1:11" ht="14.95" customHeight="1" x14ac:dyDescent="0.25">
      <c r="A70" s="9" t="s">
        <v>56</v>
      </c>
      <c r="B70" s="34" t="s">
        <v>247</v>
      </c>
      <c r="C70" s="10">
        <v>0</v>
      </c>
      <c r="D70" s="10">
        <v>206.1</v>
      </c>
      <c r="E70" s="10">
        <v>0</v>
      </c>
      <c r="F70" s="100">
        <f t="shared" si="15"/>
        <v>206.1</v>
      </c>
      <c r="G70" s="8">
        <v>0</v>
      </c>
      <c r="H70" s="8">
        <v>0</v>
      </c>
      <c r="I70" s="8">
        <v>15620</v>
      </c>
      <c r="J70" s="8">
        <v>0</v>
      </c>
      <c r="K70" s="58">
        <f t="shared" si="14"/>
        <v>15620</v>
      </c>
    </row>
    <row r="71" spans="1:11" ht="14.95" customHeight="1" x14ac:dyDescent="0.25">
      <c r="A71" s="35" t="s">
        <v>57</v>
      </c>
      <c r="B71" s="34" t="s">
        <v>247</v>
      </c>
      <c r="C71" s="10">
        <v>0</v>
      </c>
      <c r="D71" s="10">
        <v>85.93</v>
      </c>
      <c r="E71" s="10">
        <v>0</v>
      </c>
      <c r="F71" s="100">
        <f t="shared" si="15"/>
        <v>85.93</v>
      </c>
      <c r="G71" s="8">
        <v>0</v>
      </c>
      <c r="H71" s="8">
        <v>0</v>
      </c>
      <c r="I71" s="8">
        <v>8504</v>
      </c>
      <c r="J71" s="8">
        <v>0</v>
      </c>
      <c r="K71" s="58">
        <f t="shared" si="14"/>
        <v>8504</v>
      </c>
    </row>
    <row r="72" spans="1:11" ht="14.95" customHeight="1" x14ac:dyDescent="0.25">
      <c r="A72" s="35" t="s">
        <v>58</v>
      </c>
      <c r="B72" s="34" t="s">
        <v>247</v>
      </c>
      <c r="C72" s="10">
        <v>0</v>
      </c>
      <c r="D72" s="10">
        <v>164.77</v>
      </c>
      <c r="E72" s="10">
        <v>0</v>
      </c>
      <c r="F72" s="100">
        <f t="shared" si="15"/>
        <v>164.77</v>
      </c>
      <c r="G72" s="8">
        <v>0</v>
      </c>
      <c r="H72" s="8">
        <v>0</v>
      </c>
      <c r="I72" s="8">
        <v>10678</v>
      </c>
      <c r="J72" s="8">
        <v>0</v>
      </c>
      <c r="K72" s="58">
        <f t="shared" si="14"/>
        <v>10678</v>
      </c>
    </row>
    <row r="73" spans="1:11" ht="14.95" customHeight="1" x14ac:dyDescent="0.25">
      <c r="A73" s="9" t="s">
        <v>59</v>
      </c>
      <c r="B73" s="34" t="s">
        <v>247</v>
      </c>
      <c r="C73" s="10">
        <v>0</v>
      </c>
      <c r="D73" s="10">
        <v>304.7</v>
      </c>
      <c r="E73" s="10">
        <v>0</v>
      </c>
      <c r="F73" s="100">
        <f t="shared" si="15"/>
        <v>304.7</v>
      </c>
      <c r="G73" s="8">
        <v>0</v>
      </c>
      <c r="H73" s="8">
        <v>0</v>
      </c>
      <c r="I73" s="8">
        <v>21996</v>
      </c>
      <c r="J73" s="8">
        <v>0</v>
      </c>
      <c r="K73" s="58">
        <f t="shared" si="14"/>
        <v>21996</v>
      </c>
    </row>
    <row r="74" spans="1:11" ht="14.95" customHeight="1" x14ac:dyDescent="0.25">
      <c r="A74" s="35" t="s">
        <v>60</v>
      </c>
      <c r="B74" s="34" t="s">
        <v>247</v>
      </c>
      <c r="C74" s="10">
        <v>0</v>
      </c>
      <c r="D74" s="10">
        <v>231.77</v>
      </c>
      <c r="E74" s="10">
        <v>0</v>
      </c>
      <c r="F74" s="100">
        <f t="shared" si="15"/>
        <v>231.77</v>
      </c>
      <c r="G74" s="8">
        <v>0</v>
      </c>
      <c r="H74" s="8">
        <v>0</v>
      </c>
      <c r="I74" s="8">
        <v>18374</v>
      </c>
      <c r="J74" s="8">
        <v>0</v>
      </c>
      <c r="K74" s="58">
        <f t="shared" si="14"/>
        <v>18374</v>
      </c>
    </row>
    <row r="75" spans="1:11" ht="14.95" customHeight="1" x14ac:dyDescent="0.25">
      <c r="A75" s="38" t="s">
        <v>61</v>
      </c>
      <c r="B75" s="126" t="s">
        <v>247</v>
      </c>
      <c r="C75" s="8">
        <v>0</v>
      </c>
      <c r="D75" s="8">
        <v>238.62</v>
      </c>
      <c r="E75" s="8">
        <v>0</v>
      </c>
      <c r="F75" s="100">
        <f t="shared" si="15"/>
        <v>238.62</v>
      </c>
      <c r="G75" s="8">
        <v>0</v>
      </c>
      <c r="H75" s="8">
        <v>0</v>
      </c>
      <c r="I75" s="8">
        <v>16592</v>
      </c>
      <c r="J75" s="8">
        <v>0</v>
      </c>
      <c r="K75" s="58">
        <f t="shared" si="14"/>
        <v>16592</v>
      </c>
    </row>
    <row r="76" spans="1:11" ht="14.95" customHeight="1" x14ac:dyDescent="0.25">
      <c r="A76" s="35" t="s">
        <v>62</v>
      </c>
      <c r="B76" s="34" t="s">
        <v>247</v>
      </c>
      <c r="C76" s="10">
        <v>0</v>
      </c>
      <c r="D76" s="10">
        <v>289.77</v>
      </c>
      <c r="E76" s="10">
        <v>0</v>
      </c>
      <c r="F76" s="100">
        <f t="shared" si="15"/>
        <v>289.77</v>
      </c>
      <c r="G76" s="8">
        <v>27</v>
      </c>
      <c r="H76" s="8">
        <v>0</v>
      </c>
      <c r="I76" s="8">
        <v>15573</v>
      </c>
      <c r="J76" s="8">
        <v>0</v>
      </c>
      <c r="K76" s="58">
        <f t="shared" si="14"/>
        <v>15573</v>
      </c>
    </row>
    <row r="77" spans="1:11" ht="14.95" customHeight="1" x14ac:dyDescent="0.25">
      <c r="A77" s="35" t="s">
        <v>63</v>
      </c>
      <c r="B77" s="34" t="s">
        <v>247</v>
      </c>
      <c r="C77" s="10">
        <v>0</v>
      </c>
      <c r="D77" s="10">
        <v>264.79000000000002</v>
      </c>
      <c r="E77" s="10">
        <v>0</v>
      </c>
      <c r="F77" s="100">
        <f t="shared" si="15"/>
        <v>264.79000000000002</v>
      </c>
      <c r="G77" s="8">
        <v>0</v>
      </c>
      <c r="H77" s="8">
        <v>0</v>
      </c>
      <c r="I77" s="8">
        <v>7374</v>
      </c>
      <c r="J77" s="8">
        <v>0</v>
      </c>
      <c r="K77" s="58">
        <f t="shared" si="14"/>
        <v>7374</v>
      </c>
    </row>
    <row r="78" spans="1:11" ht="14.95" customHeight="1" x14ac:dyDescent="0.25">
      <c r="A78" s="35" t="s">
        <v>64</v>
      </c>
      <c r="B78" s="34" t="s">
        <v>247</v>
      </c>
      <c r="C78" s="10">
        <v>0</v>
      </c>
      <c r="D78" s="10">
        <v>63</v>
      </c>
      <c r="E78" s="10">
        <v>0</v>
      </c>
      <c r="F78" s="100">
        <f t="shared" ref="F78:F79" si="16">SUM(C78:E78)</f>
        <v>63</v>
      </c>
      <c r="G78" s="8">
        <v>0</v>
      </c>
      <c r="H78" s="8">
        <v>0</v>
      </c>
      <c r="I78" s="8">
        <v>4241</v>
      </c>
      <c r="J78" s="8">
        <v>0</v>
      </c>
      <c r="K78" s="58">
        <f t="shared" ref="K78:K127" si="17">SUM(I78:J78)</f>
        <v>4241</v>
      </c>
    </row>
    <row r="79" spans="1:11" ht="14.95" customHeight="1" x14ac:dyDescent="0.25">
      <c r="A79" s="35" t="s">
        <v>65</v>
      </c>
      <c r="B79" s="34" t="s">
        <v>247</v>
      </c>
      <c r="C79" s="10">
        <v>0</v>
      </c>
      <c r="D79" s="10">
        <v>339.05</v>
      </c>
      <c r="E79" s="10">
        <v>0</v>
      </c>
      <c r="F79" s="100">
        <f t="shared" si="16"/>
        <v>339.05</v>
      </c>
      <c r="G79" s="8">
        <v>149</v>
      </c>
      <c r="H79" s="8">
        <v>0</v>
      </c>
      <c r="I79" s="8">
        <v>18721</v>
      </c>
      <c r="J79" s="8">
        <v>0</v>
      </c>
      <c r="K79" s="58">
        <f t="shared" si="17"/>
        <v>18721</v>
      </c>
    </row>
    <row r="80" spans="1:11" ht="14.95" customHeight="1" x14ac:dyDescent="0.25">
      <c r="A80" s="35" t="s">
        <v>66</v>
      </c>
      <c r="B80" s="34" t="s">
        <v>247</v>
      </c>
      <c r="C80" s="10">
        <v>0</v>
      </c>
      <c r="D80" s="10">
        <v>60</v>
      </c>
      <c r="E80" s="10">
        <v>0</v>
      </c>
      <c r="F80" s="100">
        <f>SUM(C80:E80)</f>
        <v>60</v>
      </c>
      <c r="G80" s="80">
        <v>0</v>
      </c>
      <c r="H80" s="10">
        <v>0</v>
      </c>
      <c r="I80" s="8">
        <v>4997</v>
      </c>
      <c r="J80" s="8">
        <v>0</v>
      </c>
      <c r="K80" s="58">
        <f t="shared" si="17"/>
        <v>4997</v>
      </c>
    </row>
    <row r="81" spans="1:13" ht="14.95" customHeight="1" x14ac:dyDescent="0.25">
      <c r="A81" s="35" t="s">
        <v>67</v>
      </c>
      <c r="B81" s="34" t="s">
        <v>247</v>
      </c>
      <c r="C81" s="10">
        <v>0</v>
      </c>
      <c r="D81" s="10">
        <v>602</v>
      </c>
      <c r="E81" s="10">
        <v>0</v>
      </c>
      <c r="F81" s="100">
        <f>SUM(C81:E81)</f>
        <v>602</v>
      </c>
      <c r="G81" s="81">
        <v>0</v>
      </c>
      <c r="H81" s="8">
        <v>0</v>
      </c>
      <c r="I81" s="10">
        <v>7718</v>
      </c>
      <c r="J81" s="8">
        <v>0</v>
      </c>
      <c r="K81" s="58">
        <f t="shared" si="17"/>
        <v>7718</v>
      </c>
    </row>
    <row r="82" spans="1:13" ht="14.95" customHeight="1" x14ac:dyDescent="0.25">
      <c r="A82" s="35" t="s">
        <v>68</v>
      </c>
      <c r="B82" s="34" t="s">
        <v>247</v>
      </c>
      <c r="C82" s="81">
        <v>0</v>
      </c>
      <c r="D82" s="81">
        <v>8</v>
      </c>
      <c r="E82" s="81">
        <v>0</v>
      </c>
      <c r="F82" s="81">
        <f>SUM(C82:E82)</f>
        <v>8</v>
      </c>
      <c r="G82" s="80">
        <v>0</v>
      </c>
      <c r="H82" s="8">
        <v>0</v>
      </c>
      <c r="I82" s="8">
        <v>4011</v>
      </c>
      <c r="J82" s="8">
        <v>0</v>
      </c>
      <c r="K82" s="58">
        <f t="shared" si="17"/>
        <v>4011</v>
      </c>
    </row>
    <row r="83" spans="1:13" ht="14.95" customHeight="1" x14ac:dyDescent="0.25">
      <c r="A83" s="35" t="s">
        <v>69</v>
      </c>
      <c r="B83" s="34" t="s">
        <v>247</v>
      </c>
      <c r="C83" s="81">
        <v>0</v>
      </c>
      <c r="D83" s="81">
        <v>891</v>
      </c>
      <c r="E83" s="81">
        <v>0</v>
      </c>
      <c r="F83" s="81">
        <f t="shared" ref="F83:F98" si="18">SUM(C83:E83)</f>
        <v>891</v>
      </c>
      <c r="G83" s="81">
        <v>0</v>
      </c>
      <c r="H83" s="80">
        <v>0</v>
      </c>
      <c r="I83" s="8">
        <v>22579</v>
      </c>
      <c r="J83" s="8">
        <v>0</v>
      </c>
      <c r="K83" s="58">
        <f t="shared" si="17"/>
        <v>22579</v>
      </c>
    </row>
    <row r="84" spans="1:13" ht="14.95" customHeight="1" x14ac:dyDescent="0.25">
      <c r="A84" s="40" t="s">
        <v>70</v>
      </c>
      <c r="B84" s="34" t="s">
        <v>247</v>
      </c>
      <c r="C84" s="10">
        <v>0</v>
      </c>
      <c r="D84" s="10">
        <v>1503</v>
      </c>
      <c r="E84" s="81">
        <v>0</v>
      </c>
      <c r="F84" s="81">
        <f t="shared" si="18"/>
        <v>1503</v>
      </c>
      <c r="G84" s="81">
        <v>0</v>
      </c>
      <c r="H84" s="81">
        <v>0</v>
      </c>
      <c r="I84" s="10">
        <v>32000</v>
      </c>
      <c r="J84" s="10">
        <v>0</v>
      </c>
      <c r="K84" s="162">
        <f t="shared" si="17"/>
        <v>32000</v>
      </c>
      <c r="M84" s="134"/>
    </row>
    <row r="85" spans="1:13" ht="36.700000000000003" customHeight="1" x14ac:dyDescent="0.25">
      <c r="A85" s="150" t="s">
        <v>268</v>
      </c>
      <c r="B85" s="164"/>
      <c r="C85" s="153">
        <f>-2807.38</f>
        <v>-2807.38</v>
      </c>
      <c r="D85" s="153">
        <v>426.22</v>
      </c>
      <c r="E85" s="153">
        <v>0</v>
      </c>
      <c r="F85" s="152">
        <f t="shared" si="18"/>
        <v>-2381.16</v>
      </c>
      <c r="G85" s="152">
        <v>0</v>
      </c>
      <c r="H85" s="152">
        <v>0</v>
      </c>
      <c r="I85" s="154">
        <v>1500</v>
      </c>
      <c r="J85" s="152">
        <v>0</v>
      </c>
      <c r="K85" s="182">
        <f t="shared" si="17"/>
        <v>1500</v>
      </c>
    </row>
    <row r="86" spans="1:13" ht="14.95" customHeight="1" x14ac:dyDescent="0.25">
      <c r="A86" s="150" t="s">
        <v>71</v>
      </c>
      <c r="B86" s="151"/>
      <c r="C86" s="153">
        <f>342.88</f>
        <v>342.88</v>
      </c>
      <c r="D86" s="153">
        <v>0</v>
      </c>
      <c r="E86" s="153">
        <v>0</v>
      </c>
      <c r="F86" s="152">
        <f t="shared" si="18"/>
        <v>342.88</v>
      </c>
      <c r="G86" s="152">
        <v>0</v>
      </c>
      <c r="H86" s="152">
        <v>0</v>
      </c>
      <c r="I86" s="154">
        <v>0</v>
      </c>
      <c r="J86" s="152">
        <v>0</v>
      </c>
      <c r="K86" s="183">
        <f t="shared" si="17"/>
        <v>0</v>
      </c>
    </row>
    <row r="87" spans="1:13" ht="14.95" customHeight="1" x14ac:dyDescent="0.25">
      <c r="A87" s="128" t="s">
        <v>72</v>
      </c>
      <c r="B87" s="129"/>
      <c r="C87" s="131">
        <v>154.59</v>
      </c>
      <c r="D87" s="131">
        <v>0</v>
      </c>
      <c r="E87" s="131">
        <v>0</v>
      </c>
      <c r="F87" s="130">
        <f t="shared" si="18"/>
        <v>154.59</v>
      </c>
      <c r="G87" s="130">
        <v>0</v>
      </c>
      <c r="H87" s="130">
        <v>0</v>
      </c>
      <c r="I87" s="127">
        <v>0</v>
      </c>
      <c r="J87" s="130">
        <v>0</v>
      </c>
      <c r="K87" s="183">
        <f t="shared" si="17"/>
        <v>0</v>
      </c>
    </row>
    <row r="88" spans="1:13" ht="14.95" customHeight="1" x14ac:dyDescent="0.25">
      <c r="A88" s="128" t="s">
        <v>73</v>
      </c>
      <c r="B88" s="129"/>
      <c r="C88" s="131">
        <v>257.52999999999997</v>
      </c>
      <c r="D88" s="131">
        <v>0</v>
      </c>
      <c r="E88" s="131">
        <v>0</v>
      </c>
      <c r="F88" s="130">
        <f t="shared" si="18"/>
        <v>257.52999999999997</v>
      </c>
      <c r="G88" s="130">
        <v>0</v>
      </c>
      <c r="H88" s="130">
        <v>0</v>
      </c>
      <c r="I88" s="127">
        <v>0</v>
      </c>
      <c r="J88" s="130">
        <v>0</v>
      </c>
      <c r="K88" s="183">
        <f t="shared" si="17"/>
        <v>0</v>
      </c>
    </row>
    <row r="89" spans="1:13" ht="14.95" customHeight="1" x14ac:dyDescent="0.25">
      <c r="A89" s="128" t="s">
        <v>74</v>
      </c>
      <c r="B89" s="129"/>
      <c r="C89" s="131">
        <v>412.23</v>
      </c>
      <c r="D89" s="131">
        <v>0</v>
      </c>
      <c r="E89" s="131">
        <v>0</v>
      </c>
      <c r="F89" s="130">
        <f t="shared" si="18"/>
        <v>412.23</v>
      </c>
      <c r="G89" s="130">
        <v>0</v>
      </c>
      <c r="H89" s="130">
        <v>0</v>
      </c>
      <c r="I89" s="127">
        <v>0</v>
      </c>
      <c r="J89" s="130">
        <v>0</v>
      </c>
      <c r="K89" s="183">
        <f t="shared" si="17"/>
        <v>0</v>
      </c>
    </row>
    <row r="90" spans="1:13" ht="14.95" customHeight="1" x14ac:dyDescent="0.25">
      <c r="A90" s="128" t="s">
        <v>75</v>
      </c>
      <c r="B90" s="129"/>
      <c r="C90" s="131">
        <v>335.62</v>
      </c>
      <c r="D90" s="131">
        <v>0</v>
      </c>
      <c r="E90" s="131">
        <v>0</v>
      </c>
      <c r="F90" s="130">
        <f t="shared" si="18"/>
        <v>335.62</v>
      </c>
      <c r="G90" s="130">
        <v>0</v>
      </c>
      <c r="H90" s="130">
        <v>0</v>
      </c>
      <c r="I90" s="127">
        <v>0</v>
      </c>
      <c r="J90" s="130">
        <v>0</v>
      </c>
      <c r="K90" s="183">
        <f t="shared" si="17"/>
        <v>0</v>
      </c>
    </row>
    <row r="91" spans="1:13" ht="14.95" customHeight="1" x14ac:dyDescent="0.25">
      <c r="A91" s="128" t="s">
        <v>76</v>
      </c>
      <c r="B91" s="129"/>
      <c r="C91" s="131">
        <v>273.38</v>
      </c>
      <c r="D91" s="131">
        <v>0</v>
      </c>
      <c r="E91" s="131">
        <v>0</v>
      </c>
      <c r="F91" s="130">
        <f t="shared" si="18"/>
        <v>273.38</v>
      </c>
      <c r="G91" s="130">
        <v>0</v>
      </c>
      <c r="H91" s="130">
        <v>0</v>
      </c>
      <c r="I91" s="127">
        <v>0</v>
      </c>
      <c r="J91" s="130">
        <v>0</v>
      </c>
      <c r="K91" s="183">
        <f t="shared" si="17"/>
        <v>0</v>
      </c>
    </row>
    <row r="92" spans="1:13" ht="14.95" customHeight="1" x14ac:dyDescent="0.25">
      <c r="A92" s="128" t="s">
        <v>77</v>
      </c>
      <c r="B92" s="129"/>
      <c r="C92" s="131">
        <v>331.97</v>
      </c>
      <c r="D92" s="131">
        <v>0</v>
      </c>
      <c r="E92" s="131">
        <v>0</v>
      </c>
      <c r="F92" s="130">
        <f t="shared" si="18"/>
        <v>331.97</v>
      </c>
      <c r="G92" s="130">
        <v>0</v>
      </c>
      <c r="H92" s="130">
        <v>0</v>
      </c>
      <c r="I92" s="127">
        <v>0</v>
      </c>
      <c r="J92" s="130">
        <v>0</v>
      </c>
      <c r="K92" s="183">
        <f t="shared" si="17"/>
        <v>0</v>
      </c>
    </row>
    <row r="93" spans="1:13" ht="14.95" customHeight="1" x14ac:dyDescent="0.25">
      <c r="A93" s="128" t="s">
        <v>78</v>
      </c>
      <c r="B93" s="129"/>
      <c r="C93" s="131">
        <v>413.6</v>
      </c>
      <c r="D93" s="131">
        <v>0</v>
      </c>
      <c r="E93" s="131">
        <v>0</v>
      </c>
      <c r="F93" s="130">
        <f t="shared" si="18"/>
        <v>413.6</v>
      </c>
      <c r="G93" s="130">
        <v>0</v>
      </c>
      <c r="H93" s="130">
        <v>0</v>
      </c>
      <c r="I93" s="127">
        <v>0</v>
      </c>
      <c r="J93" s="130">
        <v>0</v>
      </c>
      <c r="K93" s="183">
        <f t="shared" si="17"/>
        <v>0</v>
      </c>
    </row>
    <row r="94" spans="1:13" ht="14.95" customHeight="1" x14ac:dyDescent="0.25">
      <c r="A94" s="128" t="s">
        <v>79</v>
      </c>
      <c r="B94" s="129"/>
      <c r="C94" s="131">
        <v>86.64</v>
      </c>
      <c r="D94" s="131">
        <v>0</v>
      </c>
      <c r="E94" s="131">
        <v>0</v>
      </c>
      <c r="F94" s="130">
        <f t="shared" si="18"/>
        <v>86.64</v>
      </c>
      <c r="G94" s="130">
        <v>0</v>
      </c>
      <c r="H94" s="130">
        <v>0</v>
      </c>
      <c r="I94" s="127">
        <v>0</v>
      </c>
      <c r="J94" s="130">
        <v>0</v>
      </c>
      <c r="K94" s="183">
        <f t="shared" si="17"/>
        <v>0</v>
      </c>
    </row>
    <row r="95" spans="1:13" ht="14.95" customHeight="1" x14ac:dyDescent="0.25">
      <c r="A95" s="128" t="s">
        <v>223</v>
      </c>
      <c r="B95" s="129"/>
      <c r="C95" s="131">
        <v>19.38</v>
      </c>
      <c r="D95" s="131">
        <v>0</v>
      </c>
      <c r="E95" s="131">
        <v>0</v>
      </c>
      <c r="F95" s="130">
        <f t="shared" si="18"/>
        <v>19.38</v>
      </c>
      <c r="G95" s="130">
        <v>0</v>
      </c>
      <c r="H95" s="130">
        <v>0</v>
      </c>
      <c r="I95" s="127">
        <v>0</v>
      </c>
      <c r="J95" s="130">
        <v>0</v>
      </c>
      <c r="K95" s="183">
        <f t="shared" si="17"/>
        <v>0</v>
      </c>
    </row>
    <row r="96" spans="1:13" ht="14.95" customHeight="1" x14ac:dyDescent="0.25">
      <c r="A96" s="128" t="s">
        <v>80</v>
      </c>
      <c r="B96" s="129"/>
      <c r="C96" s="131">
        <v>3.65</v>
      </c>
      <c r="D96" s="131">
        <v>0</v>
      </c>
      <c r="E96" s="131">
        <v>0</v>
      </c>
      <c r="F96" s="130">
        <f t="shared" si="18"/>
        <v>3.65</v>
      </c>
      <c r="G96" s="130">
        <v>0</v>
      </c>
      <c r="H96" s="130">
        <v>0</v>
      </c>
      <c r="I96" s="127">
        <v>0</v>
      </c>
      <c r="J96" s="130">
        <v>0</v>
      </c>
      <c r="K96" s="183">
        <f t="shared" si="17"/>
        <v>0</v>
      </c>
    </row>
    <row r="97" spans="1:11" ht="14.95" customHeight="1" x14ac:dyDescent="0.25">
      <c r="A97" s="122" t="s">
        <v>81</v>
      </c>
      <c r="B97" s="121"/>
      <c r="C97" s="100">
        <v>175.91</v>
      </c>
      <c r="D97" s="100">
        <v>0</v>
      </c>
      <c r="E97" s="100">
        <v>0</v>
      </c>
      <c r="F97" s="80">
        <f t="shared" si="18"/>
        <v>175.91</v>
      </c>
      <c r="G97" s="80">
        <v>0</v>
      </c>
      <c r="H97" s="80">
        <v>0</v>
      </c>
      <c r="I97" s="8">
        <v>0</v>
      </c>
      <c r="J97" s="80">
        <v>0</v>
      </c>
      <c r="K97" s="165">
        <f t="shared" si="17"/>
        <v>0</v>
      </c>
    </row>
    <row r="98" spans="1:11" ht="14.95" customHeight="1" x14ac:dyDescent="0.25">
      <c r="A98" s="39" t="s">
        <v>82</v>
      </c>
      <c r="B98" s="126" t="s">
        <v>247</v>
      </c>
      <c r="C98" s="80">
        <v>0</v>
      </c>
      <c r="D98" s="80">
        <v>0</v>
      </c>
      <c r="E98" s="80">
        <v>0</v>
      </c>
      <c r="F98" s="80">
        <f t="shared" si="18"/>
        <v>0</v>
      </c>
      <c r="G98" s="80">
        <v>0</v>
      </c>
      <c r="H98" s="80">
        <v>0</v>
      </c>
      <c r="I98" s="8">
        <v>450</v>
      </c>
      <c r="J98" s="80">
        <v>0</v>
      </c>
      <c r="K98" s="165">
        <f t="shared" si="17"/>
        <v>450</v>
      </c>
    </row>
    <row r="99" spans="1:11" ht="26.15" customHeight="1" x14ac:dyDescent="0.25">
      <c r="A99" s="122" t="s">
        <v>241</v>
      </c>
      <c r="B99" s="135" t="s">
        <v>247</v>
      </c>
      <c r="C99" s="80"/>
      <c r="D99" s="80"/>
      <c r="E99" s="80"/>
      <c r="F99" s="80"/>
      <c r="G99" s="80"/>
      <c r="H99" s="80"/>
      <c r="I99" s="136">
        <v>326</v>
      </c>
      <c r="J99" s="80">
        <v>0</v>
      </c>
      <c r="K99" s="165">
        <f t="shared" si="17"/>
        <v>326</v>
      </c>
    </row>
    <row r="100" spans="1:11" ht="14.95" customHeight="1" x14ac:dyDescent="0.25">
      <c r="A100" s="40" t="s">
        <v>83</v>
      </c>
      <c r="B100" s="135" t="s">
        <v>247</v>
      </c>
      <c r="C100" s="81">
        <v>0</v>
      </c>
      <c r="D100" s="81">
        <v>0</v>
      </c>
      <c r="E100" s="80">
        <v>0</v>
      </c>
      <c r="F100" s="80">
        <f>SUM(C100:E100)</f>
        <v>0</v>
      </c>
      <c r="G100" s="80">
        <v>0</v>
      </c>
      <c r="H100" s="80">
        <v>0</v>
      </c>
      <c r="I100" s="8">
        <v>149.5</v>
      </c>
      <c r="J100" s="8">
        <v>0</v>
      </c>
      <c r="K100" s="58">
        <f t="shared" si="17"/>
        <v>149.5</v>
      </c>
    </row>
    <row r="101" spans="1:11" ht="14.95" customHeight="1" x14ac:dyDescent="0.25">
      <c r="A101" s="40" t="s">
        <v>249</v>
      </c>
      <c r="B101" s="135" t="s">
        <v>263</v>
      </c>
      <c r="C101" s="81"/>
      <c r="D101" s="81"/>
      <c r="E101" s="80"/>
      <c r="F101" s="80"/>
      <c r="G101" s="80"/>
      <c r="H101" s="80"/>
      <c r="I101" s="8">
        <v>12000</v>
      </c>
      <c r="J101" s="8">
        <v>0</v>
      </c>
      <c r="K101" s="58">
        <f t="shared" si="17"/>
        <v>12000</v>
      </c>
    </row>
    <row r="102" spans="1:11" ht="14.95" customHeight="1" x14ac:dyDescent="0.25">
      <c r="A102" s="40" t="s">
        <v>84</v>
      </c>
      <c r="B102" s="135" t="s">
        <v>247</v>
      </c>
      <c r="C102" s="81">
        <v>0</v>
      </c>
      <c r="D102" s="81">
        <v>0</v>
      </c>
      <c r="E102" s="80">
        <v>0</v>
      </c>
      <c r="F102" s="80">
        <f>SUM(C102:E102)</f>
        <v>0</v>
      </c>
      <c r="G102" s="80">
        <v>0</v>
      </c>
      <c r="H102" s="8">
        <v>0</v>
      </c>
      <c r="I102" s="8">
        <v>1500</v>
      </c>
      <c r="J102" s="8">
        <v>0</v>
      </c>
      <c r="K102" s="58">
        <f t="shared" si="17"/>
        <v>1500</v>
      </c>
    </row>
    <row r="103" spans="1:11" ht="14.95" customHeight="1" x14ac:dyDescent="0.25">
      <c r="A103" s="9" t="s">
        <v>85</v>
      </c>
      <c r="B103" s="135" t="s">
        <v>247</v>
      </c>
      <c r="C103" s="81">
        <v>0</v>
      </c>
      <c r="D103" s="10">
        <v>0</v>
      </c>
      <c r="E103" s="8">
        <v>0</v>
      </c>
      <c r="F103" s="100">
        <f>SUM(C103:E103)</f>
        <v>0</v>
      </c>
      <c r="G103" s="8">
        <v>0</v>
      </c>
      <c r="H103" s="8">
        <v>0</v>
      </c>
      <c r="I103" s="8">
        <v>2200</v>
      </c>
      <c r="J103" s="8">
        <v>0</v>
      </c>
      <c r="K103" s="58">
        <f t="shared" si="17"/>
        <v>2200</v>
      </c>
    </row>
    <row r="104" spans="1:11" ht="26.5" customHeight="1" x14ac:dyDescent="0.25">
      <c r="A104" s="9" t="s">
        <v>86</v>
      </c>
      <c r="B104" s="135" t="s">
        <v>247</v>
      </c>
      <c r="C104" s="10">
        <v>0</v>
      </c>
      <c r="D104" s="10">
        <v>0</v>
      </c>
      <c r="E104" s="8">
        <v>0</v>
      </c>
      <c r="F104" s="100">
        <f>SUM(C104:E104)</f>
        <v>0</v>
      </c>
      <c r="G104" s="8">
        <v>0</v>
      </c>
      <c r="H104" s="8">
        <v>0</v>
      </c>
      <c r="I104" s="8">
        <v>1900</v>
      </c>
      <c r="J104" s="8">
        <v>0</v>
      </c>
      <c r="K104" s="58">
        <f t="shared" si="17"/>
        <v>1900</v>
      </c>
    </row>
    <row r="105" spans="1:11" ht="27.7" customHeight="1" x14ac:dyDescent="0.25">
      <c r="A105" s="19" t="s">
        <v>222</v>
      </c>
      <c r="B105" s="135" t="s">
        <v>247</v>
      </c>
      <c r="C105" s="56">
        <v>0</v>
      </c>
      <c r="D105" s="56">
        <v>0</v>
      </c>
      <c r="E105" s="57">
        <v>0</v>
      </c>
      <c r="F105" s="100">
        <f>SUM(C105:E105)</f>
        <v>0</v>
      </c>
      <c r="G105" s="8">
        <v>0</v>
      </c>
      <c r="H105" s="8">
        <v>0</v>
      </c>
      <c r="I105" s="8">
        <v>300</v>
      </c>
      <c r="J105" s="8">
        <v>0</v>
      </c>
      <c r="K105" s="58">
        <f t="shared" si="17"/>
        <v>300</v>
      </c>
    </row>
    <row r="106" spans="1:11" ht="24.8" customHeight="1" x14ac:dyDescent="0.25">
      <c r="A106" s="9" t="s">
        <v>245</v>
      </c>
      <c r="B106" s="135" t="s">
        <v>247</v>
      </c>
      <c r="C106" s="56"/>
      <c r="D106" s="56"/>
      <c r="E106" s="57"/>
      <c r="F106" s="100"/>
      <c r="G106" s="8"/>
      <c r="H106" s="8"/>
      <c r="I106" s="8">
        <v>200</v>
      </c>
      <c r="J106" s="8">
        <v>0</v>
      </c>
      <c r="K106" s="58">
        <f t="shared" si="17"/>
        <v>200</v>
      </c>
    </row>
    <row r="107" spans="1:11" ht="14.95" customHeight="1" x14ac:dyDescent="0.25">
      <c r="A107" s="9" t="s">
        <v>246</v>
      </c>
      <c r="B107" s="135" t="s">
        <v>248</v>
      </c>
      <c r="C107" s="56"/>
      <c r="D107" s="56"/>
      <c r="E107" s="57"/>
      <c r="F107" s="100"/>
      <c r="G107" s="8"/>
      <c r="H107" s="8"/>
      <c r="I107" s="8">
        <v>300</v>
      </c>
      <c r="J107" s="8">
        <v>0</v>
      </c>
      <c r="K107" s="58">
        <f t="shared" si="17"/>
        <v>300</v>
      </c>
    </row>
    <row r="108" spans="1:11" ht="24.8" customHeight="1" x14ac:dyDescent="0.25">
      <c r="A108" s="19" t="s">
        <v>208</v>
      </c>
      <c r="B108" s="135" t="s">
        <v>247</v>
      </c>
      <c r="C108" s="56">
        <v>0</v>
      </c>
      <c r="D108" s="56">
        <v>0</v>
      </c>
      <c r="E108" s="57">
        <v>0</v>
      </c>
      <c r="F108" s="100">
        <f t="shared" ref="F108:F116" si="19">SUM(C108:E108)</f>
        <v>0</v>
      </c>
      <c r="G108" s="8">
        <v>0</v>
      </c>
      <c r="H108" s="8">
        <v>0</v>
      </c>
      <c r="I108" s="8">
        <v>575</v>
      </c>
      <c r="J108" s="8">
        <v>0</v>
      </c>
      <c r="K108" s="58">
        <f t="shared" si="17"/>
        <v>575</v>
      </c>
    </row>
    <row r="109" spans="1:11" ht="25.5" customHeight="1" x14ac:dyDescent="0.25">
      <c r="A109" s="19" t="s">
        <v>209</v>
      </c>
      <c r="B109" s="135" t="s">
        <v>247</v>
      </c>
      <c r="C109" s="56">
        <v>0</v>
      </c>
      <c r="D109" s="56">
        <v>0</v>
      </c>
      <c r="E109" s="57">
        <v>0</v>
      </c>
      <c r="F109" s="100">
        <f t="shared" si="19"/>
        <v>0</v>
      </c>
      <c r="G109" s="8">
        <v>0</v>
      </c>
      <c r="H109" s="8">
        <v>0</v>
      </c>
      <c r="I109" s="8">
        <v>195</v>
      </c>
      <c r="J109" s="8">
        <v>0</v>
      </c>
      <c r="K109" s="58">
        <f t="shared" si="17"/>
        <v>195</v>
      </c>
    </row>
    <row r="110" spans="1:11" ht="14.95" customHeight="1" x14ac:dyDescent="0.25">
      <c r="A110" s="9" t="s">
        <v>87</v>
      </c>
      <c r="B110" s="135" t="s">
        <v>247</v>
      </c>
      <c r="C110" s="10">
        <v>0</v>
      </c>
      <c r="D110" s="10">
        <v>0</v>
      </c>
      <c r="E110" s="8">
        <v>0</v>
      </c>
      <c r="F110" s="100">
        <f t="shared" si="19"/>
        <v>0</v>
      </c>
      <c r="G110" s="8">
        <v>0</v>
      </c>
      <c r="H110" s="8">
        <v>0</v>
      </c>
      <c r="I110" s="8">
        <v>80</v>
      </c>
      <c r="J110" s="8">
        <v>0</v>
      </c>
      <c r="K110" s="58">
        <f t="shared" si="17"/>
        <v>80</v>
      </c>
    </row>
    <row r="111" spans="1:11" ht="14.95" customHeight="1" x14ac:dyDescent="0.25">
      <c r="A111" s="9" t="s">
        <v>88</v>
      </c>
      <c r="B111" s="135" t="s">
        <v>247</v>
      </c>
      <c r="C111" s="10">
        <v>0</v>
      </c>
      <c r="D111" s="10">
        <v>0</v>
      </c>
      <c r="E111" s="8">
        <v>0</v>
      </c>
      <c r="F111" s="100">
        <f t="shared" si="19"/>
        <v>0</v>
      </c>
      <c r="G111" s="8">
        <v>0</v>
      </c>
      <c r="H111" s="8">
        <v>0</v>
      </c>
      <c r="I111" s="8">
        <v>2400</v>
      </c>
      <c r="J111" s="8">
        <v>0</v>
      </c>
      <c r="K111" s="58">
        <f t="shared" si="17"/>
        <v>2400</v>
      </c>
    </row>
    <row r="112" spans="1:11" ht="15.65" customHeight="1" x14ac:dyDescent="0.25">
      <c r="A112" s="41" t="s">
        <v>98</v>
      </c>
      <c r="B112" s="135" t="s">
        <v>247</v>
      </c>
      <c r="C112" s="10">
        <v>0</v>
      </c>
      <c r="D112" s="10">
        <v>0</v>
      </c>
      <c r="E112" s="8">
        <v>0</v>
      </c>
      <c r="F112" s="100">
        <f t="shared" si="19"/>
        <v>0</v>
      </c>
      <c r="G112" s="8">
        <v>0</v>
      </c>
      <c r="H112" s="8">
        <v>0</v>
      </c>
      <c r="I112" s="8">
        <v>2400</v>
      </c>
      <c r="J112" s="8">
        <v>0</v>
      </c>
      <c r="K112" s="58">
        <f t="shared" si="17"/>
        <v>2400</v>
      </c>
    </row>
    <row r="113" spans="1:11" ht="26.5" customHeight="1" x14ac:dyDescent="0.25">
      <c r="A113" s="9" t="s">
        <v>89</v>
      </c>
      <c r="B113" s="135" t="s">
        <v>247</v>
      </c>
      <c r="C113" s="10">
        <v>0</v>
      </c>
      <c r="D113" s="10">
        <v>0</v>
      </c>
      <c r="E113" s="8">
        <v>0</v>
      </c>
      <c r="F113" s="100">
        <f t="shared" si="19"/>
        <v>0</v>
      </c>
      <c r="G113" s="8">
        <v>0</v>
      </c>
      <c r="H113" s="8">
        <v>0</v>
      </c>
      <c r="I113" s="8">
        <v>100</v>
      </c>
      <c r="J113" s="8">
        <v>0</v>
      </c>
      <c r="K113" s="58">
        <f t="shared" si="17"/>
        <v>100</v>
      </c>
    </row>
    <row r="114" spans="1:11" ht="14.95" customHeight="1" x14ac:dyDescent="0.25">
      <c r="A114" s="9" t="s">
        <v>90</v>
      </c>
      <c r="B114" s="135" t="s">
        <v>247</v>
      </c>
      <c r="C114" s="10">
        <v>0</v>
      </c>
      <c r="D114" s="10">
        <v>0</v>
      </c>
      <c r="E114" s="8">
        <v>0</v>
      </c>
      <c r="F114" s="100">
        <f t="shared" si="19"/>
        <v>0</v>
      </c>
      <c r="G114" s="8">
        <v>0</v>
      </c>
      <c r="H114" s="8">
        <v>0</v>
      </c>
      <c r="I114" s="8">
        <v>100</v>
      </c>
      <c r="J114" s="8">
        <v>0</v>
      </c>
      <c r="K114" s="58">
        <f t="shared" si="17"/>
        <v>100</v>
      </c>
    </row>
    <row r="115" spans="1:11" ht="14.95" customHeight="1" x14ac:dyDescent="0.25">
      <c r="A115" s="9" t="s">
        <v>91</v>
      </c>
      <c r="B115" s="135" t="s">
        <v>247</v>
      </c>
      <c r="C115" s="10">
        <v>0</v>
      </c>
      <c r="D115" s="10">
        <v>0</v>
      </c>
      <c r="E115" s="8">
        <v>0</v>
      </c>
      <c r="F115" s="100">
        <f t="shared" si="19"/>
        <v>0</v>
      </c>
      <c r="G115" s="8">
        <v>0</v>
      </c>
      <c r="H115" s="8">
        <v>0</v>
      </c>
      <c r="I115" s="8">
        <v>2400</v>
      </c>
      <c r="J115" s="8">
        <v>0</v>
      </c>
      <c r="K115" s="58">
        <f t="shared" si="17"/>
        <v>2400</v>
      </c>
    </row>
    <row r="116" spans="1:11" ht="17.149999999999999" customHeight="1" x14ac:dyDescent="0.25">
      <c r="A116" s="9" t="s">
        <v>92</v>
      </c>
      <c r="B116" s="135" t="s">
        <v>247</v>
      </c>
      <c r="C116" s="10">
        <v>0</v>
      </c>
      <c r="D116" s="10">
        <v>0</v>
      </c>
      <c r="E116" s="8">
        <v>0</v>
      </c>
      <c r="F116" s="100">
        <f t="shared" si="19"/>
        <v>0</v>
      </c>
      <c r="G116" s="8">
        <v>0</v>
      </c>
      <c r="H116" s="8">
        <v>0</v>
      </c>
      <c r="I116" s="8">
        <v>2400</v>
      </c>
      <c r="J116" s="8">
        <v>0</v>
      </c>
      <c r="K116" s="58">
        <f t="shared" si="17"/>
        <v>2400</v>
      </c>
    </row>
    <row r="117" spans="1:11" ht="18.350000000000001" customHeight="1" x14ac:dyDescent="0.25">
      <c r="A117" s="9" t="s">
        <v>243</v>
      </c>
      <c r="B117" s="135" t="s">
        <v>247</v>
      </c>
      <c r="C117" s="10"/>
      <c r="D117" s="10"/>
      <c r="E117" s="8"/>
      <c r="F117" s="100"/>
      <c r="G117" s="8"/>
      <c r="H117" s="8"/>
      <c r="I117" s="84">
        <v>1200</v>
      </c>
      <c r="J117" s="8">
        <v>0</v>
      </c>
      <c r="K117" s="58">
        <f t="shared" si="17"/>
        <v>1200</v>
      </c>
    </row>
    <row r="118" spans="1:11" ht="25.15" customHeight="1" x14ac:dyDescent="0.25">
      <c r="A118" s="9" t="s">
        <v>226</v>
      </c>
      <c r="B118" s="135" t="s">
        <v>247</v>
      </c>
      <c r="C118" s="10">
        <f>40</f>
        <v>40</v>
      </c>
      <c r="D118" s="10">
        <v>0</v>
      </c>
      <c r="E118" s="8">
        <v>0</v>
      </c>
      <c r="F118" s="100">
        <f>SUM(C118:E118)</f>
        <v>40</v>
      </c>
      <c r="G118" s="8">
        <v>0</v>
      </c>
      <c r="H118" s="8">
        <v>0</v>
      </c>
      <c r="I118" s="8">
        <v>40</v>
      </c>
      <c r="J118" s="8">
        <v>0</v>
      </c>
      <c r="K118" s="58">
        <f t="shared" si="17"/>
        <v>40</v>
      </c>
    </row>
    <row r="119" spans="1:11" ht="14.95" customHeight="1" x14ac:dyDescent="0.25">
      <c r="A119" s="9" t="s">
        <v>224</v>
      </c>
      <c r="B119" s="135" t="s">
        <v>247</v>
      </c>
      <c r="C119" s="10">
        <f>16</f>
        <v>16</v>
      </c>
      <c r="D119" s="10">
        <v>0</v>
      </c>
      <c r="E119" s="8">
        <v>0</v>
      </c>
      <c r="F119" s="100">
        <f>SUM(C119:E119)</f>
        <v>16</v>
      </c>
      <c r="G119" s="8">
        <v>0</v>
      </c>
      <c r="H119" s="8">
        <v>0</v>
      </c>
      <c r="I119" s="8">
        <v>16</v>
      </c>
      <c r="J119" s="8">
        <v>0</v>
      </c>
      <c r="K119" s="58">
        <f t="shared" si="17"/>
        <v>16</v>
      </c>
    </row>
    <row r="120" spans="1:11" ht="14.95" customHeight="1" x14ac:dyDescent="0.25">
      <c r="A120" s="9" t="s">
        <v>257</v>
      </c>
      <c r="B120" s="34" t="s">
        <v>247</v>
      </c>
      <c r="C120" s="10">
        <f>20</f>
        <v>20</v>
      </c>
      <c r="D120" s="10">
        <v>0</v>
      </c>
      <c r="E120" s="8">
        <v>0</v>
      </c>
      <c r="F120" s="100">
        <f>SUM(C120:E120)</f>
        <v>20</v>
      </c>
      <c r="G120" s="8">
        <v>0</v>
      </c>
      <c r="H120" s="8">
        <v>0</v>
      </c>
      <c r="I120" s="8">
        <v>20</v>
      </c>
      <c r="J120" s="8">
        <v>0</v>
      </c>
      <c r="K120" s="58">
        <f t="shared" si="17"/>
        <v>20</v>
      </c>
    </row>
    <row r="121" spans="1:11" ht="14.95" customHeight="1" x14ac:dyDescent="0.25">
      <c r="A121" s="9" t="s">
        <v>258</v>
      </c>
      <c r="B121" s="34" t="s">
        <v>247</v>
      </c>
      <c r="C121" s="10">
        <f>5</f>
        <v>5</v>
      </c>
      <c r="D121" s="10">
        <v>0</v>
      </c>
      <c r="E121" s="8">
        <v>0</v>
      </c>
      <c r="F121" s="100">
        <f>SUM(C121:E121)</f>
        <v>5</v>
      </c>
      <c r="G121" s="8">
        <v>0</v>
      </c>
      <c r="H121" s="8">
        <v>0</v>
      </c>
      <c r="I121" s="8">
        <v>10</v>
      </c>
      <c r="J121" s="8">
        <v>0</v>
      </c>
      <c r="K121" s="58">
        <f t="shared" si="17"/>
        <v>10</v>
      </c>
    </row>
    <row r="122" spans="1:11" ht="27.2" x14ac:dyDescent="0.25">
      <c r="A122" s="9" t="s">
        <v>238</v>
      </c>
      <c r="B122" s="135" t="s">
        <v>247</v>
      </c>
      <c r="C122" s="10"/>
      <c r="D122" s="10"/>
      <c r="E122" s="8"/>
      <c r="F122" s="100">
        <v>0</v>
      </c>
      <c r="G122" s="8">
        <v>0</v>
      </c>
      <c r="H122" s="8">
        <f>14</f>
        <v>14</v>
      </c>
      <c r="I122" s="8">
        <v>100</v>
      </c>
      <c r="J122" s="8">
        <v>0</v>
      </c>
      <c r="K122" s="58">
        <f t="shared" si="17"/>
        <v>100</v>
      </c>
    </row>
    <row r="123" spans="1:11" x14ac:dyDescent="0.25">
      <c r="A123" s="9" t="s">
        <v>242</v>
      </c>
      <c r="B123" s="135" t="s">
        <v>247</v>
      </c>
      <c r="C123" s="10"/>
      <c r="D123" s="10"/>
      <c r="E123" s="8"/>
      <c r="F123" s="100"/>
      <c r="G123" s="8"/>
      <c r="H123" s="8"/>
      <c r="I123" s="84">
        <v>100</v>
      </c>
      <c r="J123" s="8">
        <v>0</v>
      </c>
      <c r="K123" s="58">
        <f t="shared" si="17"/>
        <v>100</v>
      </c>
    </row>
    <row r="124" spans="1:11" ht="14.95" customHeight="1" x14ac:dyDescent="0.25">
      <c r="A124" s="9" t="s">
        <v>93</v>
      </c>
      <c r="B124" s="135" t="s">
        <v>247</v>
      </c>
      <c r="C124" s="10">
        <v>0</v>
      </c>
      <c r="D124" s="10">
        <v>0</v>
      </c>
      <c r="E124" s="8">
        <v>0</v>
      </c>
      <c r="F124" s="100">
        <f t="shared" ref="F124:F129" si="20">SUM(C124:E124)</f>
        <v>0</v>
      </c>
      <c r="G124" s="8">
        <v>0</v>
      </c>
      <c r="H124" s="8">
        <v>0</v>
      </c>
      <c r="I124" s="8">
        <v>500</v>
      </c>
      <c r="J124" s="8">
        <v>0</v>
      </c>
      <c r="K124" s="58">
        <f t="shared" si="17"/>
        <v>500</v>
      </c>
    </row>
    <row r="125" spans="1:11" ht="14.95" customHeight="1" x14ac:dyDescent="0.25">
      <c r="A125" s="9" t="s">
        <v>94</v>
      </c>
      <c r="B125" s="135" t="s">
        <v>247</v>
      </c>
      <c r="C125" s="10">
        <v>0</v>
      </c>
      <c r="D125" s="10">
        <v>0</v>
      </c>
      <c r="E125" s="8">
        <v>0</v>
      </c>
      <c r="F125" s="100">
        <f t="shared" si="20"/>
        <v>0</v>
      </c>
      <c r="G125" s="8">
        <v>0</v>
      </c>
      <c r="H125" s="8">
        <v>0</v>
      </c>
      <c r="I125" s="8">
        <v>300</v>
      </c>
      <c r="J125" s="8">
        <v>0</v>
      </c>
      <c r="K125" s="58">
        <f t="shared" si="17"/>
        <v>300</v>
      </c>
    </row>
    <row r="126" spans="1:11" ht="27.7" customHeight="1" x14ac:dyDescent="0.25">
      <c r="A126" s="9" t="s">
        <v>266</v>
      </c>
      <c r="B126" s="135" t="s">
        <v>247</v>
      </c>
      <c r="C126" s="10">
        <f>10</f>
        <v>10</v>
      </c>
      <c r="D126" s="10">
        <v>0</v>
      </c>
      <c r="E126" s="8">
        <v>0</v>
      </c>
      <c r="F126" s="100">
        <f t="shared" si="20"/>
        <v>10</v>
      </c>
      <c r="G126" s="8">
        <v>0</v>
      </c>
      <c r="H126" s="8">
        <v>0</v>
      </c>
      <c r="I126" s="8">
        <v>15</v>
      </c>
      <c r="J126" s="8">
        <v>0</v>
      </c>
      <c r="K126" s="58">
        <f t="shared" si="17"/>
        <v>15</v>
      </c>
    </row>
    <row r="127" spans="1:11" ht="27.7" customHeight="1" x14ac:dyDescent="0.25">
      <c r="A127" s="9" t="s">
        <v>225</v>
      </c>
      <c r="B127" s="135" t="s">
        <v>247</v>
      </c>
      <c r="C127" s="10">
        <f>10</f>
        <v>10</v>
      </c>
      <c r="D127" s="10">
        <v>0</v>
      </c>
      <c r="E127" s="8">
        <v>0</v>
      </c>
      <c r="F127" s="100">
        <f t="shared" si="20"/>
        <v>10</v>
      </c>
      <c r="G127" s="8">
        <v>0</v>
      </c>
      <c r="H127" s="8">
        <v>0</v>
      </c>
      <c r="I127" s="8">
        <v>20</v>
      </c>
      <c r="J127" s="8">
        <v>0</v>
      </c>
      <c r="K127" s="58">
        <f t="shared" si="17"/>
        <v>20</v>
      </c>
    </row>
    <row r="128" spans="1:11" ht="14.95" customHeight="1" x14ac:dyDescent="0.25">
      <c r="A128" s="35" t="s">
        <v>95</v>
      </c>
      <c r="B128" s="135" t="s">
        <v>247</v>
      </c>
      <c r="C128" s="10">
        <v>0</v>
      </c>
      <c r="D128" s="10">
        <v>0</v>
      </c>
      <c r="E128" s="8">
        <v>0</v>
      </c>
      <c r="F128" s="100">
        <f t="shared" si="20"/>
        <v>0</v>
      </c>
      <c r="G128" s="8">
        <v>0</v>
      </c>
      <c r="H128" s="8">
        <v>0</v>
      </c>
      <c r="I128" s="8">
        <v>700</v>
      </c>
      <c r="J128" s="8">
        <v>0</v>
      </c>
      <c r="K128" s="58">
        <f t="shared" ref="K128:K177" si="21">SUM(I128:J128)</f>
        <v>700</v>
      </c>
    </row>
    <row r="129" spans="1:11" ht="14.95" customHeight="1" x14ac:dyDescent="0.25">
      <c r="A129" s="35" t="s">
        <v>96</v>
      </c>
      <c r="B129" s="135" t="s">
        <v>247</v>
      </c>
      <c r="C129" s="10">
        <v>0</v>
      </c>
      <c r="D129" s="10">
        <v>0</v>
      </c>
      <c r="E129" s="8">
        <v>0</v>
      </c>
      <c r="F129" s="100">
        <f t="shared" si="20"/>
        <v>0</v>
      </c>
      <c r="G129" s="8">
        <v>0</v>
      </c>
      <c r="H129" s="8">
        <v>0</v>
      </c>
      <c r="I129" s="8">
        <v>60</v>
      </c>
      <c r="J129" s="8">
        <v>0</v>
      </c>
      <c r="K129" s="58">
        <f t="shared" si="21"/>
        <v>60</v>
      </c>
    </row>
    <row r="130" spans="1:11" ht="14.95" customHeight="1" x14ac:dyDescent="0.25">
      <c r="A130" s="35" t="s">
        <v>244</v>
      </c>
      <c r="B130" s="135" t="s">
        <v>247</v>
      </c>
      <c r="C130" s="10"/>
      <c r="D130" s="10"/>
      <c r="E130" s="8"/>
      <c r="F130" s="100"/>
      <c r="G130" s="8"/>
      <c r="H130" s="8"/>
      <c r="I130" s="8">
        <v>6.5</v>
      </c>
      <c r="J130" s="8">
        <v>0</v>
      </c>
      <c r="K130" s="58">
        <f t="shared" si="21"/>
        <v>6.5</v>
      </c>
    </row>
    <row r="131" spans="1:11" ht="14.95" customHeight="1" x14ac:dyDescent="0.25">
      <c r="A131" s="9" t="s">
        <v>97</v>
      </c>
      <c r="B131" s="135" t="s">
        <v>247</v>
      </c>
      <c r="C131" s="10">
        <v>0</v>
      </c>
      <c r="D131" s="10">
        <v>0</v>
      </c>
      <c r="E131" s="8">
        <v>0</v>
      </c>
      <c r="F131" s="100">
        <f>SUM(C131:E131)</f>
        <v>0</v>
      </c>
      <c r="G131" s="8">
        <v>0</v>
      </c>
      <c r="H131" s="8">
        <v>0</v>
      </c>
      <c r="I131" s="8">
        <v>650</v>
      </c>
      <c r="J131" s="8">
        <v>0</v>
      </c>
      <c r="K131" s="58">
        <f t="shared" si="21"/>
        <v>650</v>
      </c>
    </row>
    <row r="132" spans="1:11" ht="14.95" customHeight="1" x14ac:dyDescent="0.25">
      <c r="A132" s="11" t="s">
        <v>272</v>
      </c>
      <c r="B132" s="135" t="s">
        <v>247</v>
      </c>
      <c r="C132" s="12"/>
      <c r="D132" s="12"/>
      <c r="E132" s="15"/>
      <c r="F132" s="163"/>
      <c r="G132" s="15"/>
      <c r="H132" s="15"/>
      <c r="I132" s="10">
        <v>0</v>
      </c>
      <c r="J132" s="10">
        <f>150</f>
        <v>150</v>
      </c>
      <c r="K132" s="162">
        <f>I132+J132</f>
        <v>150</v>
      </c>
    </row>
    <row r="133" spans="1:11" ht="27.2" x14ac:dyDescent="0.25">
      <c r="A133" s="11" t="s">
        <v>273</v>
      </c>
      <c r="B133" s="135" t="s">
        <v>247</v>
      </c>
      <c r="C133" s="12"/>
      <c r="D133" s="12"/>
      <c r="E133" s="15"/>
      <c r="F133" s="163"/>
      <c r="G133" s="15"/>
      <c r="H133" s="15"/>
      <c r="I133" s="8">
        <v>0</v>
      </c>
      <c r="J133" s="8">
        <f>50</f>
        <v>50</v>
      </c>
      <c r="K133" s="162">
        <f>I133+J133</f>
        <v>50</v>
      </c>
    </row>
    <row r="134" spans="1:11" ht="14.95" customHeight="1" thickBot="1" x14ac:dyDescent="0.3">
      <c r="A134" s="36" t="s">
        <v>99</v>
      </c>
      <c r="B134" s="51"/>
      <c r="C134" s="12">
        <f>-130-107.5</f>
        <v>-237.5</v>
      </c>
      <c r="D134" s="12">
        <v>-4120.04</v>
      </c>
      <c r="E134" s="12">
        <f>67.31+27.5-35-738.84</f>
        <v>-679.03</v>
      </c>
      <c r="F134" s="111">
        <f>SUM(C134:E134)-102.35</f>
        <v>-5138.92</v>
      </c>
      <c r="G134" s="12">
        <v>1388</v>
      </c>
      <c r="H134" s="12">
        <f>-360-14+318.64</f>
        <v>-55.360000000000014</v>
      </c>
      <c r="I134" s="137">
        <v>29346</v>
      </c>
      <c r="J134" s="15">
        <f>100+2083.62</f>
        <v>2183.62</v>
      </c>
      <c r="K134" s="72">
        <f t="shared" si="21"/>
        <v>31529.62</v>
      </c>
    </row>
    <row r="135" spans="1:11" ht="15.65" customHeight="1" thickBot="1" x14ac:dyDescent="0.3">
      <c r="A135" s="37" t="s">
        <v>100</v>
      </c>
      <c r="B135" s="32"/>
      <c r="C135" s="24">
        <f t="shared" ref="C135:H135" si="22">SUM(C137:C146)</f>
        <v>63.6</v>
      </c>
      <c r="D135" s="24">
        <f t="shared" si="22"/>
        <v>12032</v>
      </c>
      <c r="E135" s="24">
        <f t="shared" si="22"/>
        <v>9426.0499999999993</v>
      </c>
      <c r="F135" s="110">
        <f t="shared" si="22"/>
        <v>21411.440000000002</v>
      </c>
      <c r="G135" s="24">
        <f t="shared" si="22"/>
        <v>5424.84</v>
      </c>
      <c r="H135" s="24">
        <f t="shared" si="22"/>
        <v>14546.47</v>
      </c>
      <c r="I135" s="24">
        <f>SUM(I137:I146)</f>
        <v>366228.56</v>
      </c>
      <c r="J135" s="24">
        <f>SUM(J137:J146)</f>
        <v>-105</v>
      </c>
      <c r="K135" s="161">
        <f t="shared" si="21"/>
        <v>366123.56</v>
      </c>
    </row>
    <row r="136" spans="1:11" ht="14.95" customHeight="1" x14ac:dyDescent="0.25">
      <c r="A136" s="38" t="s">
        <v>24</v>
      </c>
      <c r="B136" s="126"/>
      <c r="C136" s="8"/>
      <c r="D136" s="8"/>
      <c r="E136" s="8"/>
      <c r="F136" s="100"/>
      <c r="G136" s="8"/>
      <c r="H136" s="8"/>
      <c r="I136" s="8"/>
      <c r="J136" s="8"/>
      <c r="K136" s="58"/>
    </row>
    <row r="137" spans="1:11" ht="14.95" customHeight="1" x14ac:dyDescent="0.25">
      <c r="A137" s="35" t="s">
        <v>26</v>
      </c>
      <c r="B137" s="34"/>
      <c r="C137" s="10">
        <f>2.6</f>
        <v>2.6</v>
      </c>
      <c r="D137" s="10">
        <v>6410</v>
      </c>
      <c r="E137" s="10">
        <f>2.6+45.11+4180</f>
        <v>4227.71</v>
      </c>
      <c r="F137" s="100">
        <f>SUM(C137:E137)-110.21</f>
        <v>10530.100000000002</v>
      </c>
      <c r="G137" s="8">
        <v>1543</v>
      </c>
      <c r="H137" s="8">
        <f>13862+34.47</f>
        <v>13896.47</v>
      </c>
      <c r="I137" s="8">
        <v>85621</v>
      </c>
      <c r="J137" s="8">
        <f>-105</f>
        <v>-105</v>
      </c>
      <c r="K137" s="58">
        <f t="shared" si="21"/>
        <v>85516</v>
      </c>
    </row>
    <row r="138" spans="1:11" ht="14.95" customHeight="1" x14ac:dyDescent="0.25">
      <c r="A138" s="35" t="s">
        <v>200</v>
      </c>
      <c r="B138" s="148" t="s">
        <v>247</v>
      </c>
      <c r="C138" s="10">
        <v>0</v>
      </c>
      <c r="D138" s="10">
        <v>6000</v>
      </c>
      <c r="E138" s="10">
        <v>0</v>
      </c>
      <c r="F138" s="100">
        <f t="shared" ref="F138:F146" si="23">SUM(C138:E138)</f>
        <v>6000</v>
      </c>
      <c r="G138" s="8">
        <v>0</v>
      </c>
      <c r="H138" s="8">
        <v>0</v>
      </c>
      <c r="I138" s="8">
        <v>147429</v>
      </c>
      <c r="J138" s="8">
        <v>0</v>
      </c>
      <c r="K138" s="58">
        <f t="shared" si="21"/>
        <v>147429</v>
      </c>
    </row>
    <row r="139" spans="1:11" ht="14.95" customHeight="1" x14ac:dyDescent="0.25">
      <c r="A139" s="35" t="s">
        <v>201</v>
      </c>
      <c r="B139" s="148" t="s">
        <v>247</v>
      </c>
      <c r="C139" s="10">
        <v>0</v>
      </c>
      <c r="D139" s="10">
        <v>0</v>
      </c>
      <c r="E139" s="10">
        <f>1965.34</f>
        <v>1965.34</v>
      </c>
      <c r="F139" s="100">
        <f t="shared" si="23"/>
        <v>1965.34</v>
      </c>
      <c r="G139" s="8">
        <v>0</v>
      </c>
      <c r="H139" s="8">
        <v>0</v>
      </c>
      <c r="I139" s="8">
        <v>29600</v>
      </c>
      <c r="J139" s="8">
        <v>0</v>
      </c>
      <c r="K139" s="58">
        <f t="shared" si="21"/>
        <v>29600</v>
      </c>
    </row>
    <row r="140" spans="1:11" ht="14.95" customHeight="1" x14ac:dyDescent="0.25">
      <c r="A140" s="35" t="s">
        <v>101</v>
      </c>
      <c r="B140" s="148" t="s">
        <v>247</v>
      </c>
      <c r="C140" s="10">
        <v>0</v>
      </c>
      <c r="D140" s="10">
        <v>0</v>
      </c>
      <c r="E140" s="10">
        <v>0</v>
      </c>
      <c r="F140" s="100">
        <f t="shared" si="23"/>
        <v>0</v>
      </c>
      <c r="G140" s="8">
        <v>0</v>
      </c>
      <c r="H140" s="8">
        <v>0</v>
      </c>
      <c r="I140" s="8">
        <v>245</v>
      </c>
      <c r="J140" s="8">
        <v>0</v>
      </c>
      <c r="K140" s="58">
        <f t="shared" si="21"/>
        <v>245</v>
      </c>
    </row>
    <row r="141" spans="1:11" ht="14.95" customHeight="1" x14ac:dyDescent="0.25">
      <c r="A141" s="35" t="s">
        <v>102</v>
      </c>
      <c r="B141" s="148" t="s">
        <v>247</v>
      </c>
      <c r="C141" s="10">
        <v>0</v>
      </c>
      <c r="D141" s="10">
        <v>0</v>
      </c>
      <c r="E141" s="10">
        <v>0</v>
      </c>
      <c r="F141" s="100">
        <f t="shared" si="23"/>
        <v>0</v>
      </c>
      <c r="G141" s="8">
        <v>0</v>
      </c>
      <c r="H141" s="8">
        <v>0</v>
      </c>
      <c r="I141" s="8">
        <v>204</v>
      </c>
      <c r="J141" s="8">
        <v>0</v>
      </c>
      <c r="K141" s="58">
        <f t="shared" si="21"/>
        <v>204</v>
      </c>
    </row>
    <row r="142" spans="1:11" ht="14.95" customHeight="1" x14ac:dyDescent="0.25">
      <c r="A142" s="35" t="s">
        <v>103</v>
      </c>
      <c r="B142" s="148" t="s">
        <v>247</v>
      </c>
      <c r="C142" s="10">
        <v>0</v>
      </c>
      <c r="D142" s="10">
        <v>0</v>
      </c>
      <c r="E142" s="10">
        <v>0</v>
      </c>
      <c r="F142" s="100">
        <f t="shared" si="23"/>
        <v>0</v>
      </c>
      <c r="G142" s="8">
        <v>0</v>
      </c>
      <c r="H142" s="8">
        <v>0</v>
      </c>
      <c r="I142" s="8">
        <v>1126</v>
      </c>
      <c r="J142" s="8">
        <v>0</v>
      </c>
      <c r="K142" s="58">
        <f t="shared" si="21"/>
        <v>1126</v>
      </c>
    </row>
    <row r="143" spans="1:11" ht="14.95" customHeight="1" x14ac:dyDescent="0.25">
      <c r="A143" s="35" t="s">
        <v>104</v>
      </c>
      <c r="B143" s="148" t="s">
        <v>247</v>
      </c>
      <c r="C143" s="10">
        <v>0</v>
      </c>
      <c r="D143" s="10">
        <v>0</v>
      </c>
      <c r="E143" s="10">
        <v>0</v>
      </c>
      <c r="F143" s="100">
        <f t="shared" si="23"/>
        <v>0</v>
      </c>
      <c r="G143" s="8">
        <v>0</v>
      </c>
      <c r="H143" s="8">
        <v>0</v>
      </c>
      <c r="I143" s="8">
        <v>298</v>
      </c>
      <c r="J143" s="8">
        <v>0</v>
      </c>
      <c r="K143" s="58">
        <f t="shared" si="21"/>
        <v>298</v>
      </c>
    </row>
    <row r="144" spans="1:11" ht="28.55" customHeight="1" x14ac:dyDescent="0.25">
      <c r="A144" s="9" t="s">
        <v>105</v>
      </c>
      <c r="B144" s="148" t="s">
        <v>247</v>
      </c>
      <c r="C144" s="10">
        <v>0</v>
      </c>
      <c r="D144" s="10">
        <v>0</v>
      </c>
      <c r="E144" s="10">
        <v>0</v>
      </c>
      <c r="F144" s="100">
        <f t="shared" si="23"/>
        <v>0</v>
      </c>
      <c r="G144" s="8">
        <v>0</v>
      </c>
      <c r="H144" s="8">
        <v>0</v>
      </c>
      <c r="I144" s="8">
        <v>162</v>
      </c>
      <c r="J144" s="8">
        <v>0</v>
      </c>
      <c r="K144" s="58">
        <f t="shared" si="21"/>
        <v>162</v>
      </c>
    </row>
    <row r="145" spans="1:11" ht="26.5" customHeight="1" x14ac:dyDescent="0.25">
      <c r="A145" s="9" t="s">
        <v>269</v>
      </c>
      <c r="B145" s="34"/>
      <c r="C145" s="10">
        <v>0</v>
      </c>
      <c r="D145" s="10">
        <v>-930</v>
      </c>
      <c r="E145" s="10">
        <v>0</v>
      </c>
      <c r="F145" s="100">
        <f t="shared" si="23"/>
        <v>-930</v>
      </c>
      <c r="G145" s="8">
        <v>0</v>
      </c>
      <c r="H145" s="8">
        <v>0</v>
      </c>
      <c r="I145" s="8">
        <v>0</v>
      </c>
      <c r="J145" s="8">
        <v>0</v>
      </c>
      <c r="K145" s="58">
        <f t="shared" si="21"/>
        <v>0</v>
      </c>
    </row>
    <row r="146" spans="1:11" ht="14.95" customHeight="1" thickBot="1" x14ac:dyDescent="0.3">
      <c r="A146" s="11" t="s">
        <v>106</v>
      </c>
      <c r="B146" s="51"/>
      <c r="C146" s="12">
        <f>61</f>
        <v>61</v>
      </c>
      <c r="D146" s="12">
        <v>552</v>
      </c>
      <c r="E146" s="12">
        <f>33+3200</f>
        <v>3233</v>
      </c>
      <c r="F146" s="111">
        <f t="shared" si="23"/>
        <v>3846</v>
      </c>
      <c r="G146" s="12">
        <v>3881.84</v>
      </c>
      <c r="H146" s="12">
        <f>650</f>
        <v>650</v>
      </c>
      <c r="I146" s="12">
        <v>101543.56</v>
      </c>
      <c r="J146" s="15">
        <v>0</v>
      </c>
      <c r="K146" s="72">
        <f t="shared" si="21"/>
        <v>101543.56</v>
      </c>
    </row>
    <row r="147" spans="1:11" ht="15.65" customHeight="1" thickBot="1" x14ac:dyDescent="0.3">
      <c r="A147" s="37" t="s">
        <v>107</v>
      </c>
      <c r="B147" s="32"/>
      <c r="C147" s="24">
        <f t="shared" ref="C147:H147" si="24">SUM(C149:C155)</f>
        <v>0</v>
      </c>
      <c r="D147" s="24">
        <f t="shared" si="24"/>
        <v>4210</v>
      </c>
      <c r="E147" s="24">
        <f t="shared" si="24"/>
        <v>524.67000000000007</v>
      </c>
      <c r="F147" s="110">
        <f t="shared" si="24"/>
        <v>4734.67</v>
      </c>
      <c r="G147" s="24">
        <f t="shared" si="24"/>
        <v>0</v>
      </c>
      <c r="H147" s="24">
        <f t="shared" si="24"/>
        <v>280.10000000000002</v>
      </c>
      <c r="I147" s="24">
        <f>SUM(I149:I155)</f>
        <v>165941</v>
      </c>
      <c r="J147" s="24">
        <f>SUM(J149:J155)</f>
        <v>0</v>
      </c>
      <c r="K147" s="161">
        <f t="shared" si="21"/>
        <v>165941</v>
      </c>
    </row>
    <row r="148" spans="1:11" ht="14.95" customHeight="1" x14ac:dyDescent="0.25">
      <c r="A148" s="38" t="s">
        <v>24</v>
      </c>
      <c r="B148" s="126"/>
      <c r="C148" s="8"/>
      <c r="D148" s="8"/>
      <c r="E148" s="8"/>
      <c r="F148" s="100"/>
      <c r="G148" s="8"/>
      <c r="H148" s="8"/>
      <c r="I148" s="8"/>
      <c r="J148" s="8"/>
      <c r="K148" s="58"/>
    </row>
    <row r="149" spans="1:11" ht="14.95" customHeight="1" x14ac:dyDescent="0.25">
      <c r="A149" s="35" t="s">
        <v>26</v>
      </c>
      <c r="B149" s="34"/>
      <c r="C149" s="10">
        <v>0</v>
      </c>
      <c r="D149" s="10">
        <v>0</v>
      </c>
      <c r="E149" s="10">
        <f>522.2</f>
        <v>522.20000000000005</v>
      </c>
      <c r="F149" s="100">
        <f t="shared" ref="F149:F155" si="25">SUM(C149:E149)</f>
        <v>522.20000000000005</v>
      </c>
      <c r="G149" s="8">
        <v>0</v>
      </c>
      <c r="H149" s="8">
        <f>250+82.54</f>
        <v>332.54</v>
      </c>
      <c r="I149" s="8">
        <v>4240</v>
      </c>
      <c r="J149" s="8">
        <v>0</v>
      </c>
      <c r="K149" s="58">
        <f t="shared" si="21"/>
        <v>4240</v>
      </c>
    </row>
    <row r="150" spans="1:11" ht="27.7" customHeight="1" x14ac:dyDescent="0.25">
      <c r="A150" s="9" t="s">
        <v>108</v>
      </c>
      <c r="B150" s="34" t="s">
        <v>109</v>
      </c>
      <c r="C150" s="10">
        <v>0</v>
      </c>
      <c r="D150" s="10">
        <v>0</v>
      </c>
      <c r="E150" s="10">
        <v>0</v>
      </c>
      <c r="F150" s="100">
        <f t="shared" si="25"/>
        <v>0</v>
      </c>
      <c r="G150" s="8">
        <v>0</v>
      </c>
      <c r="H150" s="8">
        <v>0</v>
      </c>
      <c r="I150" s="8">
        <v>300</v>
      </c>
      <c r="J150" s="8">
        <v>0</v>
      </c>
      <c r="K150" s="58">
        <f t="shared" si="21"/>
        <v>300</v>
      </c>
    </row>
    <row r="151" spans="1:11" ht="14.95" customHeight="1" x14ac:dyDescent="0.25">
      <c r="A151" s="9" t="s">
        <v>210</v>
      </c>
      <c r="B151" s="34" t="s">
        <v>211</v>
      </c>
      <c r="C151" s="10">
        <v>0</v>
      </c>
      <c r="D151" s="10">
        <v>0</v>
      </c>
      <c r="E151" s="10">
        <v>0</v>
      </c>
      <c r="F151" s="100">
        <f t="shared" si="25"/>
        <v>0</v>
      </c>
      <c r="G151" s="8">
        <v>0</v>
      </c>
      <c r="H151" s="8">
        <v>0</v>
      </c>
      <c r="I151" s="8">
        <v>250</v>
      </c>
      <c r="J151" s="8">
        <v>0</v>
      </c>
      <c r="K151" s="58">
        <f t="shared" si="21"/>
        <v>250</v>
      </c>
    </row>
    <row r="152" spans="1:11" ht="14.95" customHeight="1" x14ac:dyDescent="0.25">
      <c r="A152" s="35" t="s">
        <v>110</v>
      </c>
      <c r="B152" s="132"/>
      <c r="C152" s="10">
        <v>0</v>
      </c>
      <c r="D152" s="10">
        <v>0</v>
      </c>
      <c r="E152" s="10">
        <v>0</v>
      </c>
      <c r="F152" s="100">
        <f t="shared" si="25"/>
        <v>0</v>
      </c>
      <c r="G152" s="8">
        <v>0</v>
      </c>
      <c r="H152" s="8">
        <v>0</v>
      </c>
      <c r="I152" s="8">
        <v>10</v>
      </c>
      <c r="J152" s="8">
        <v>0</v>
      </c>
      <c r="K152" s="58">
        <f t="shared" si="21"/>
        <v>10</v>
      </c>
    </row>
    <row r="153" spans="1:11" ht="14.95" customHeight="1" x14ac:dyDescent="0.25">
      <c r="A153" s="35" t="s">
        <v>111</v>
      </c>
      <c r="B153" s="148" t="s">
        <v>264</v>
      </c>
      <c r="C153" s="10">
        <v>0</v>
      </c>
      <c r="D153" s="10">
        <v>20</v>
      </c>
      <c r="E153" s="10">
        <v>0</v>
      </c>
      <c r="F153" s="100">
        <f t="shared" si="25"/>
        <v>20</v>
      </c>
      <c r="G153" s="8">
        <v>0</v>
      </c>
      <c r="H153" s="8">
        <v>0</v>
      </c>
      <c r="I153" s="8">
        <v>200</v>
      </c>
      <c r="J153" s="8">
        <v>0</v>
      </c>
      <c r="K153" s="58">
        <f t="shared" si="21"/>
        <v>200</v>
      </c>
    </row>
    <row r="154" spans="1:11" ht="14.95" customHeight="1" x14ac:dyDescent="0.25">
      <c r="A154" s="35" t="s">
        <v>112</v>
      </c>
      <c r="B154" s="148" t="s">
        <v>264</v>
      </c>
      <c r="C154" s="10">
        <v>0</v>
      </c>
      <c r="D154" s="10">
        <v>190</v>
      </c>
      <c r="E154" s="10">
        <v>0</v>
      </c>
      <c r="F154" s="100">
        <f t="shared" si="25"/>
        <v>190</v>
      </c>
      <c r="G154" s="8">
        <v>0</v>
      </c>
      <c r="H154" s="8">
        <v>0</v>
      </c>
      <c r="I154" s="8">
        <v>1000</v>
      </c>
      <c r="J154" s="8">
        <v>0</v>
      </c>
      <c r="K154" s="58">
        <f t="shared" si="21"/>
        <v>1000</v>
      </c>
    </row>
    <row r="155" spans="1:11" ht="14.95" customHeight="1" thickBot="1" x14ac:dyDescent="0.3">
      <c r="A155" s="11" t="s">
        <v>113</v>
      </c>
      <c r="B155" s="133"/>
      <c r="C155" s="12">
        <v>0</v>
      </c>
      <c r="D155" s="12">
        <v>4000</v>
      </c>
      <c r="E155" s="12">
        <f>2.47</f>
        <v>2.4700000000000002</v>
      </c>
      <c r="F155" s="163">
        <f t="shared" si="25"/>
        <v>4002.47</v>
      </c>
      <c r="G155" s="15">
        <v>0</v>
      </c>
      <c r="H155" s="15">
        <f>22.37+7.73-82.54</f>
        <v>-52.440000000000005</v>
      </c>
      <c r="I155" s="15">
        <v>159941</v>
      </c>
      <c r="J155" s="15">
        <v>0</v>
      </c>
      <c r="K155" s="72">
        <f t="shared" si="21"/>
        <v>159941</v>
      </c>
    </row>
    <row r="156" spans="1:11" ht="15.65" customHeight="1" thickBot="1" x14ac:dyDescent="0.3">
      <c r="A156" s="37" t="s">
        <v>114</v>
      </c>
      <c r="B156" s="32"/>
      <c r="C156" s="24">
        <f t="shared" ref="C156:J156" si="26">SUM(C158:C187)</f>
        <v>76</v>
      </c>
      <c r="D156" s="24">
        <f t="shared" si="26"/>
        <v>45</v>
      </c>
      <c r="E156" s="24">
        <f t="shared" si="26"/>
        <v>-165</v>
      </c>
      <c r="F156" s="110">
        <f t="shared" si="26"/>
        <v>-41</v>
      </c>
      <c r="G156" s="24">
        <f t="shared" si="26"/>
        <v>0</v>
      </c>
      <c r="H156" s="24">
        <f t="shared" si="26"/>
        <v>10.150000000000006</v>
      </c>
      <c r="I156" s="24">
        <f t="shared" si="26"/>
        <v>165761</v>
      </c>
      <c r="J156" s="24">
        <f t="shared" si="26"/>
        <v>0</v>
      </c>
      <c r="K156" s="161">
        <f t="shared" si="21"/>
        <v>165761</v>
      </c>
    </row>
    <row r="157" spans="1:11" ht="14.95" customHeight="1" x14ac:dyDescent="0.25">
      <c r="A157" s="38" t="s">
        <v>24</v>
      </c>
      <c r="B157" s="126"/>
      <c r="C157" s="8"/>
      <c r="D157" s="8"/>
      <c r="E157" s="8"/>
      <c r="F157" s="100"/>
      <c r="G157" s="8"/>
      <c r="H157" s="8"/>
      <c r="I157" s="8"/>
      <c r="J157" s="8"/>
      <c r="K157" s="58"/>
    </row>
    <row r="158" spans="1:11" ht="17.149999999999999" customHeight="1" x14ac:dyDescent="0.25">
      <c r="A158" s="35" t="s">
        <v>212</v>
      </c>
      <c r="B158" s="34" t="s">
        <v>141</v>
      </c>
      <c r="C158" s="10">
        <v>0</v>
      </c>
      <c r="D158" s="10">
        <v>0</v>
      </c>
      <c r="E158" s="10">
        <v>0</v>
      </c>
      <c r="F158" s="100">
        <f t="shared" ref="F158:F177" si="27">SUM(C158:E158)</f>
        <v>0</v>
      </c>
      <c r="G158" s="8">
        <v>-170.3</v>
      </c>
      <c r="H158" s="8">
        <v>0</v>
      </c>
      <c r="I158" s="8">
        <v>950</v>
      </c>
      <c r="J158" s="8">
        <v>0</v>
      </c>
      <c r="K158" s="58">
        <f t="shared" si="21"/>
        <v>950</v>
      </c>
    </row>
    <row r="159" spans="1:11" ht="17.7" customHeight="1" x14ac:dyDescent="0.25">
      <c r="A159" s="35" t="s">
        <v>213</v>
      </c>
      <c r="B159" s="34" t="s">
        <v>140</v>
      </c>
      <c r="C159" s="10">
        <v>0</v>
      </c>
      <c r="D159" s="10">
        <v>0</v>
      </c>
      <c r="E159" s="10">
        <v>0</v>
      </c>
      <c r="F159" s="100">
        <f t="shared" si="27"/>
        <v>0</v>
      </c>
      <c r="G159" s="8">
        <v>0</v>
      </c>
      <c r="H159" s="8">
        <v>0</v>
      </c>
      <c r="I159" s="8">
        <v>27400</v>
      </c>
      <c r="J159" s="8">
        <v>0</v>
      </c>
      <c r="K159" s="58">
        <f t="shared" si="21"/>
        <v>27400</v>
      </c>
    </row>
    <row r="160" spans="1:11" ht="26.15" customHeight="1" x14ac:dyDescent="0.25">
      <c r="A160" s="9" t="s">
        <v>214</v>
      </c>
      <c r="B160" s="34" t="s">
        <v>116</v>
      </c>
      <c r="C160" s="10">
        <v>0</v>
      </c>
      <c r="D160" s="10">
        <v>0</v>
      </c>
      <c r="E160" s="10">
        <v>0</v>
      </c>
      <c r="F160" s="100">
        <f t="shared" si="27"/>
        <v>0</v>
      </c>
      <c r="G160" s="8">
        <v>-430</v>
      </c>
      <c r="H160" s="8">
        <v>0</v>
      </c>
      <c r="I160" s="8">
        <v>1000</v>
      </c>
      <c r="J160" s="8">
        <v>0</v>
      </c>
      <c r="K160" s="58">
        <f t="shared" si="21"/>
        <v>1000</v>
      </c>
    </row>
    <row r="161" spans="1:11" ht="27" customHeight="1" x14ac:dyDescent="0.25">
      <c r="A161" s="9" t="s">
        <v>215</v>
      </c>
      <c r="B161" s="34" t="s">
        <v>117</v>
      </c>
      <c r="C161" s="10">
        <v>0</v>
      </c>
      <c r="D161" s="10">
        <v>0</v>
      </c>
      <c r="E161" s="10">
        <v>0</v>
      </c>
      <c r="F161" s="100">
        <f t="shared" si="27"/>
        <v>0</v>
      </c>
      <c r="G161" s="8">
        <v>0</v>
      </c>
      <c r="H161" s="8">
        <v>0</v>
      </c>
      <c r="I161" s="8">
        <v>1800</v>
      </c>
      <c r="J161" s="8">
        <v>0</v>
      </c>
      <c r="K161" s="58">
        <f t="shared" si="21"/>
        <v>1800</v>
      </c>
    </row>
    <row r="162" spans="1:11" ht="40.75" customHeight="1" x14ac:dyDescent="0.25">
      <c r="A162" s="9" t="s">
        <v>119</v>
      </c>
      <c r="B162" s="34" t="s">
        <v>247</v>
      </c>
      <c r="C162" s="10">
        <v>0</v>
      </c>
      <c r="D162" s="10">
        <v>3000</v>
      </c>
      <c r="E162" s="10">
        <v>0</v>
      </c>
      <c r="F162" s="100">
        <f t="shared" si="27"/>
        <v>3000</v>
      </c>
      <c r="G162" s="8">
        <v>0</v>
      </c>
      <c r="H162" s="8">
        <v>0</v>
      </c>
      <c r="I162" s="8">
        <v>11900</v>
      </c>
      <c r="J162" s="8">
        <v>0</v>
      </c>
      <c r="K162" s="58">
        <f t="shared" si="21"/>
        <v>11900</v>
      </c>
    </row>
    <row r="163" spans="1:11" ht="14.95" customHeight="1" x14ac:dyDescent="0.25">
      <c r="A163" s="9" t="s">
        <v>202</v>
      </c>
      <c r="B163" s="34" t="s">
        <v>247</v>
      </c>
      <c r="C163" s="10">
        <v>0</v>
      </c>
      <c r="D163" s="10">
        <v>0</v>
      </c>
      <c r="E163" s="10">
        <v>0</v>
      </c>
      <c r="F163" s="100">
        <f t="shared" si="27"/>
        <v>0</v>
      </c>
      <c r="G163" s="8">
        <v>0</v>
      </c>
      <c r="H163" s="8">
        <v>0</v>
      </c>
      <c r="I163" s="8">
        <v>5000</v>
      </c>
      <c r="J163" s="8">
        <v>0</v>
      </c>
      <c r="K163" s="58">
        <f t="shared" si="21"/>
        <v>5000</v>
      </c>
    </row>
    <row r="164" spans="1:11" ht="14.95" customHeight="1" x14ac:dyDescent="0.25">
      <c r="A164" s="35" t="s">
        <v>120</v>
      </c>
      <c r="B164" s="34" t="s">
        <v>247</v>
      </c>
      <c r="C164" s="10">
        <v>0</v>
      </c>
      <c r="D164" s="10">
        <v>45</v>
      </c>
      <c r="E164" s="10">
        <v>0</v>
      </c>
      <c r="F164" s="100">
        <f t="shared" si="27"/>
        <v>45</v>
      </c>
      <c r="G164" s="8">
        <v>0</v>
      </c>
      <c r="H164" s="8">
        <v>0</v>
      </c>
      <c r="I164" s="8">
        <v>6654</v>
      </c>
      <c r="J164" s="8">
        <v>0</v>
      </c>
      <c r="K164" s="58">
        <f t="shared" si="21"/>
        <v>6654</v>
      </c>
    </row>
    <row r="165" spans="1:11" ht="50.3" customHeight="1" x14ac:dyDescent="0.25">
      <c r="A165" s="9" t="s">
        <v>121</v>
      </c>
      <c r="B165" s="34" t="s">
        <v>247</v>
      </c>
      <c r="C165" s="10">
        <v>0</v>
      </c>
      <c r="D165" s="10">
        <v>0</v>
      </c>
      <c r="E165" s="10">
        <v>0</v>
      </c>
      <c r="F165" s="100">
        <f t="shared" si="27"/>
        <v>0</v>
      </c>
      <c r="G165" s="8">
        <v>0</v>
      </c>
      <c r="H165" s="8">
        <v>0</v>
      </c>
      <c r="I165" s="8">
        <v>20500</v>
      </c>
      <c r="J165" s="8">
        <v>0</v>
      </c>
      <c r="K165" s="58">
        <f t="shared" si="21"/>
        <v>20500</v>
      </c>
    </row>
    <row r="166" spans="1:11" ht="14.95" customHeight="1" x14ac:dyDescent="0.25">
      <c r="A166" s="9" t="s">
        <v>204</v>
      </c>
      <c r="B166" s="34" t="s">
        <v>247</v>
      </c>
      <c r="C166" s="10">
        <v>0</v>
      </c>
      <c r="D166" s="10">
        <v>0</v>
      </c>
      <c r="E166" s="10">
        <v>0</v>
      </c>
      <c r="F166" s="100">
        <f t="shared" si="27"/>
        <v>0</v>
      </c>
      <c r="G166" s="8">
        <v>0</v>
      </c>
      <c r="H166" s="8">
        <v>0</v>
      </c>
      <c r="I166" s="8">
        <v>28000</v>
      </c>
      <c r="J166" s="8">
        <v>0</v>
      </c>
      <c r="K166" s="58">
        <f t="shared" si="21"/>
        <v>28000</v>
      </c>
    </row>
    <row r="167" spans="1:11" ht="52.3" customHeight="1" x14ac:dyDescent="0.25">
      <c r="A167" s="9" t="s">
        <v>122</v>
      </c>
      <c r="B167" s="34" t="s">
        <v>247</v>
      </c>
      <c r="C167" s="10">
        <v>0</v>
      </c>
      <c r="D167" s="10">
        <v>0</v>
      </c>
      <c r="E167" s="10">
        <v>0</v>
      </c>
      <c r="F167" s="100">
        <f t="shared" si="27"/>
        <v>0</v>
      </c>
      <c r="G167" s="8">
        <v>0</v>
      </c>
      <c r="H167" s="8">
        <v>0</v>
      </c>
      <c r="I167" s="8">
        <v>15360</v>
      </c>
      <c r="J167" s="8">
        <v>0</v>
      </c>
      <c r="K167" s="58">
        <f t="shared" si="21"/>
        <v>15360</v>
      </c>
    </row>
    <row r="168" spans="1:11" ht="14.95" customHeight="1" x14ac:dyDescent="0.25">
      <c r="A168" s="9" t="s">
        <v>203</v>
      </c>
      <c r="B168" s="34" t="s">
        <v>247</v>
      </c>
      <c r="C168" s="10">
        <v>0</v>
      </c>
      <c r="D168" s="10">
        <v>0</v>
      </c>
      <c r="E168" s="10">
        <v>0</v>
      </c>
      <c r="F168" s="100">
        <f t="shared" si="27"/>
        <v>0</v>
      </c>
      <c r="G168" s="8">
        <v>0</v>
      </c>
      <c r="H168" s="8">
        <v>0</v>
      </c>
      <c r="I168" s="8">
        <v>16000</v>
      </c>
      <c r="J168" s="8">
        <v>0</v>
      </c>
      <c r="K168" s="58">
        <f t="shared" si="21"/>
        <v>16000</v>
      </c>
    </row>
    <row r="169" spans="1:11" ht="54" customHeight="1" x14ac:dyDescent="0.25">
      <c r="A169" s="9" t="s">
        <v>123</v>
      </c>
      <c r="B169" s="34" t="s">
        <v>247</v>
      </c>
      <c r="C169" s="10">
        <v>0</v>
      </c>
      <c r="D169" s="10">
        <v>0</v>
      </c>
      <c r="E169" s="10">
        <v>0</v>
      </c>
      <c r="F169" s="100">
        <f t="shared" si="27"/>
        <v>0</v>
      </c>
      <c r="G169" s="8">
        <v>0</v>
      </c>
      <c r="H169" s="8">
        <v>0</v>
      </c>
      <c r="I169" s="8">
        <v>12000</v>
      </c>
      <c r="J169" s="8">
        <v>0</v>
      </c>
      <c r="K169" s="58">
        <f t="shared" si="21"/>
        <v>12000</v>
      </c>
    </row>
    <row r="170" spans="1:11" ht="14.95" customHeight="1" x14ac:dyDescent="0.25">
      <c r="A170" s="9" t="s">
        <v>205</v>
      </c>
      <c r="B170" s="34" t="s">
        <v>247</v>
      </c>
      <c r="C170" s="10">
        <v>0</v>
      </c>
      <c r="D170" s="10">
        <v>0</v>
      </c>
      <c r="E170" s="10">
        <v>0</v>
      </c>
      <c r="F170" s="100">
        <f t="shared" si="27"/>
        <v>0</v>
      </c>
      <c r="G170" s="8">
        <v>0</v>
      </c>
      <c r="H170" s="8">
        <v>0</v>
      </c>
      <c r="I170" s="8">
        <v>7000</v>
      </c>
      <c r="J170" s="8">
        <v>0</v>
      </c>
      <c r="K170" s="58">
        <f t="shared" si="21"/>
        <v>7000</v>
      </c>
    </row>
    <row r="171" spans="1:11" ht="14.95" customHeight="1" x14ac:dyDescent="0.25">
      <c r="A171" s="9" t="s">
        <v>124</v>
      </c>
      <c r="B171" s="34"/>
      <c r="C171" s="10">
        <v>0</v>
      </c>
      <c r="D171" s="10">
        <v>0</v>
      </c>
      <c r="E171" s="10">
        <v>0</v>
      </c>
      <c r="F171" s="100">
        <f t="shared" si="27"/>
        <v>0</v>
      </c>
      <c r="G171" s="8">
        <v>0</v>
      </c>
      <c r="H171" s="8">
        <v>0</v>
      </c>
      <c r="I171" s="84">
        <v>4.5</v>
      </c>
      <c r="J171" s="8">
        <v>0</v>
      </c>
      <c r="K171" s="58">
        <f t="shared" si="21"/>
        <v>4.5</v>
      </c>
    </row>
    <row r="172" spans="1:11" ht="14.95" customHeight="1" x14ac:dyDescent="0.25">
      <c r="A172" s="9" t="s">
        <v>125</v>
      </c>
      <c r="B172" s="34" t="s">
        <v>250</v>
      </c>
      <c r="C172" s="10">
        <v>0</v>
      </c>
      <c r="D172" s="10">
        <v>0</v>
      </c>
      <c r="E172" s="10">
        <v>0</v>
      </c>
      <c r="F172" s="100">
        <f t="shared" si="27"/>
        <v>0</v>
      </c>
      <c r="G172" s="8">
        <v>0</v>
      </c>
      <c r="H172" s="8">
        <v>0</v>
      </c>
      <c r="I172" s="84">
        <v>20</v>
      </c>
      <c r="J172" s="8">
        <v>0</v>
      </c>
      <c r="K172" s="58">
        <f t="shared" si="21"/>
        <v>20</v>
      </c>
    </row>
    <row r="173" spans="1:11" ht="14.95" customHeight="1" x14ac:dyDescent="0.25">
      <c r="A173" s="9" t="s">
        <v>126</v>
      </c>
      <c r="B173" s="34" t="s">
        <v>250</v>
      </c>
      <c r="C173" s="10">
        <v>0</v>
      </c>
      <c r="D173" s="10">
        <v>0</v>
      </c>
      <c r="E173" s="10">
        <v>0</v>
      </c>
      <c r="F173" s="100">
        <f t="shared" si="27"/>
        <v>0</v>
      </c>
      <c r="G173" s="8">
        <v>0</v>
      </c>
      <c r="H173" s="8">
        <v>0</v>
      </c>
      <c r="I173" s="84">
        <v>15</v>
      </c>
      <c r="J173" s="8">
        <v>0</v>
      </c>
      <c r="K173" s="58">
        <f t="shared" si="21"/>
        <v>15</v>
      </c>
    </row>
    <row r="174" spans="1:11" ht="14.95" customHeight="1" x14ac:dyDescent="0.25">
      <c r="A174" s="35" t="s">
        <v>127</v>
      </c>
      <c r="B174" s="34" t="s">
        <v>250</v>
      </c>
      <c r="C174" s="10">
        <v>0</v>
      </c>
      <c r="D174" s="10">
        <v>0</v>
      </c>
      <c r="E174" s="10">
        <v>0</v>
      </c>
      <c r="F174" s="100">
        <f t="shared" si="27"/>
        <v>0</v>
      </c>
      <c r="G174" s="8">
        <v>0</v>
      </c>
      <c r="H174" s="8">
        <v>0</v>
      </c>
      <c r="I174" s="84">
        <v>100</v>
      </c>
      <c r="J174" s="8">
        <v>0</v>
      </c>
      <c r="K174" s="58">
        <f t="shared" si="21"/>
        <v>100</v>
      </c>
    </row>
    <row r="175" spans="1:11" ht="14.95" customHeight="1" x14ac:dyDescent="0.25">
      <c r="A175" s="35" t="s">
        <v>128</v>
      </c>
      <c r="B175" s="34" t="s">
        <v>247</v>
      </c>
      <c r="C175" s="10">
        <v>0</v>
      </c>
      <c r="D175" s="10">
        <v>0</v>
      </c>
      <c r="E175" s="10">
        <v>0</v>
      </c>
      <c r="F175" s="100">
        <f t="shared" si="27"/>
        <v>0</v>
      </c>
      <c r="G175" s="8">
        <v>0</v>
      </c>
      <c r="H175" s="8">
        <v>0</v>
      </c>
      <c r="I175" s="84">
        <v>1050</v>
      </c>
      <c r="J175" s="8">
        <v>0</v>
      </c>
      <c r="K175" s="58">
        <f t="shared" si="21"/>
        <v>1050</v>
      </c>
    </row>
    <row r="176" spans="1:11" ht="14.95" customHeight="1" x14ac:dyDescent="0.25">
      <c r="A176" s="35" t="s">
        <v>129</v>
      </c>
      <c r="B176" s="34" t="s">
        <v>247</v>
      </c>
      <c r="C176" s="10">
        <v>0</v>
      </c>
      <c r="D176" s="10">
        <v>0</v>
      </c>
      <c r="E176" s="10">
        <v>0</v>
      </c>
      <c r="F176" s="100">
        <f t="shared" si="27"/>
        <v>0</v>
      </c>
      <c r="G176" s="8">
        <v>0</v>
      </c>
      <c r="H176" s="8">
        <v>0</v>
      </c>
      <c r="I176" s="84">
        <v>4200</v>
      </c>
      <c r="J176" s="8">
        <v>0</v>
      </c>
      <c r="K176" s="58">
        <f t="shared" si="21"/>
        <v>4200</v>
      </c>
    </row>
    <row r="177" spans="1:11" ht="14.95" customHeight="1" x14ac:dyDescent="0.25">
      <c r="A177" s="35" t="s">
        <v>130</v>
      </c>
      <c r="B177" s="34" t="s">
        <v>250</v>
      </c>
      <c r="C177" s="10">
        <v>0</v>
      </c>
      <c r="D177" s="10">
        <v>0</v>
      </c>
      <c r="E177" s="10">
        <v>0</v>
      </c>
      <c r="F177" s="100">
        <f t="shared" si="27"/>
        <v>0</v>
      </c>
      <c r="G177" s="8">
        <v>0</v>
      </c>
      <c r="H177" s="8">
        <v>0</v>
      </c>
      <c r="I177" s="84">
        <v>90</v>
      </c>
      <c r="J177" s="8">
        <v>0</v>
      </c>
      <c r="K177" s="58">
        <f t="shared" si="21"/>
        <v>90</v>
      </c>
    </row>
    <row r="178" spans="1:11" ht="14.95" customHeight="1" x14ac:dyDescent="0.25">
      <c r="A178" s="35" t="s">
        <v>131</v>
      </c>
      <c r="B178" s="34" t="s">
        <v>247</v>
      </c>
      <c r="C178" s="10">
        <v>0</v>
      </c>
      <c r="D178" s="10">
        <v>0</v>
      </c>
      <c r="E178" s="10">
        <v>0</v>
      </c>
      <c r="F178" s="100">
        <f>SUM(C178:E178)</f>
        <v>0</v>
      </c>
      <c r="G178" s="8">
        <v>0</v>
      </c>
      <c r="H178" s="8">
        <v>0</v>
      </c>
      <c r="I178" s="84">
        <v>700</v>
      </c>
      <c r="J178" s="8">
        <v>0</v>
      </c>
      <c r="K178" s="58">
        <f t="shared" ref="K178:K214" si="28">SUM(I178:J178)</f>
        <v>700</v>
      </c>
    </row>
    <row r="179" spans="1:11" ht="14.95" customHeight="1" x14ac:dyDescent="0.25">
      <c r="A179" s="41" t="s">
        <v>132</v>
      </c>
      <c r="B179" s="34" t="s">
        <v>250</v>
      </c>
      <c r="C179" s="10">
        <v>0</v>
      </c>
      <c r="D179" s="10">
        <v>0</v>
      </c>
      <c r="E179" s="10">
        <v>0</v>
      </c>
      <c r="F179" s="100">
        <f>SUM(C179:E179)</f>
        <v>0</v>
      </c>
      <c r="G179" s="8">
        <v>0</v>
      </c>
      <c r="H179" s="8">
        <v>0</v>
      </c>
      <c r="I179" s="84">
        <v>30</v>
      </c>
      <c r="J179" s="8">
        <v>0</v>
      </c>
      <c r="K179" s="58">
        <f t="shared" si="28"/>
        <v>30</v>
      </c>
    </row>
    <row r="180" spans="1:11" ht="14.95" customHeight="1" x14ac:dyDescent="0.25">
      <c r="A180" s="9" t="s">
        <v>133</v>
      </c>
      <c r="B180" s="34" t="s">
        <v>250</v>
      </c>
      <c r="C180" s="10">
        <v>0</v>
      </c>
      <c r="D180" s="10">
        <v>0</v>
      </c>
      <c r="E180" s="10">
        <v>0</v>
      </c>
      <c r="F180" s="100">
        <f>SUM(C180:E180)</f>
        <v>0</v>
      </c>
      <c r="G180" s="8">
        <v>0</v>
      </c>
      <c r="H180" s="8">
        <v>0</v>
      </c>
      <c r="I180" s="84">
        <v>60</v>
      </c>
      <c r="J180" s="8">
        <v>0</v>
      </c>
      <c r="K180" s="58">
        <f t="shared" si="28"/>
        <v>60</v>
      </c>
    </row>
    <row r="181" spans="1:11" ht="14.95" customHeight="1" x14ac:dyDescent="0.25">
      <c r="A181" s="41" t="s">
        <v>134</v>
      </c>
      <c r="B181" s="34" t="s">
        <v>250</v>
      </c>
      <c r="C181" s="10">
        <v>0</v>
      </c>
      <c r="D181" s="10">
        <v>0</v>
      </c>
      <c r="E181" s="10">
        <v>0</v>
      </c>
      <c r="F181" s="100">
        <f>SUM(C181:E181)</f>
        <v>0</v>
      </c>
      <c r="G181" s="8">
        <v>0</v>
      </c>
      <c r="H181" s="8">
        <v>0</v>
      </c>
      <c r="I181" s="84">
        <v>15</v>
      </c>
      <c r="J181" s="8">
        <v>0</v>
      </c>
      <c r="K181" s="58">
        <f t="shared" si="28"/>
        <v>15</v>
      </c>
    </row>
    <row r="182" spans="1:11" ht="14.95" customHeight="1" x14ac:dyDescent="0.25">
      <c r="A182" s="41" t="s">
        <v>135</v>
      </c>
      <c r="B182" s="34" t="s">
        <v>247</v>
      </c>
      <c r="C182" s="10">
        <v>0</v>
      </c>
      <c r="D182" s="10">
        <v>0</v>
      </c>
      <c r="E182" s="10">
        <v>0</v>
      </c>
      <c r="F182" s="100">
        <f>SUM(C182:E182)</f>
        <v>0</v>
      </c>
      <c r="G182" s="8">
        <v>0</v>
      </c>
      <c r="H182" s="8">
        <v>0</v>
      </c>
      <c r="I182" s="84">
        <v>50</v>
      </c>
      <c r="J182" s="8">
        <v>0</v>
      </c>
      <c r="K182" s="58">
        <f t="shared" si="28"/>
        <v>50</v>
      </c>
    </row>
    <row r="183" spans="1:11" ht="14.95" customHeight="1" x14ac:dyDescent="0.25">
      <c r="A183" s="41" t="s">
        <v>253</v>
      </c>
      <c r="B183" s="34" t="s">
        <v>247</v>
      </c>
      <c r="C183" s="10"/>
      <c r="D183" s="10"/>
      <c r="E183" s="10"/>
      <c r="F183" s="100"/>
      <c r="G183" s="8"/>
      <c r="H183" s="8"/>
      <c r="I183" s="84">
        <v>580</v>
      </c>
      <c r="J183" s="8">
        <v>0</v>
      </c>
      <c r="K183" s="58">
        <f t="shared" si="28"/>
        <v>580</v>
      </c>
    </row>
    <row r="184" spans="1:11" ht="14.95" customHeight="1" x14ac:dyDescent="0.25">
      <c r="A184" s="9" t="s">
        <v>252</v>
      </c>
      <c r="B184" s="34" t="s">
        <v>250</v>
      </c>
      <c r="C184" s="10"/>
      <c r="D184" s="10"/>
      <c r="E184" s="10"/>
      <c r="F184" s="100"/>
      <c r="G184" s="8"/>
      <c r="H184" s="8"/>
      <c r="I184" s="84">
        <v>15</v>
      </c>
      <c r="J184" s="8">
        <v>0</v>
      </c>
      <c r="K184" s="58">
        <f t="shared" si="28"/>
        <v>15</v>
      </c>
    </row>
    <row r="185" spans="1:11" ht="14.95" customHeight="1" x14ac:dyDescent="0.25">
      <c r="A185" s="138" t="s">
        <v>254</v>
      </c>
      <c r="B185" s="34" t="s">
        <v>247</v>
      </c>
      <c r="C185" s="10"/>
      <c r="D185" s="10"/>
      <c r="E185" s="10"/>
      <c r="F185" s="100"/>
      <c r="G185" s="8"/>
      <c r="H185" s="8"/>
      <c r="I185" s="84">
        <v>200</v>
      </c>
      <c r="J185" s="8">
        <v>0</v>
      </c>
      <c r="K185" s="58">
        <f t="shared" si="28"/>
        <v>200</v>
      </c>
    </row>
    <row r="186" spans="1:11" ht="14.95" customHeight="1" x14ac:dyDescent="0.25">
      <c r="A186" s="9" t="s">
        <v>251</v>
      </c>
      <c r="B186" s="34" t="s">
        <v>247</v>
      </c>
      <c r="C186" s="10"/>
      <c r="D186" s="10"/>
      <c r="E186" s="10"/>
      <c r="F186" s="109"/>
      <c r="G186" s="10"/>
      <c r="H186" s="10"/>
      <c r="I186" s="85">
        <v>20</v>
      </c>
      <c r="J186" s="10">
        <v>0</v>
      </c>
      <c r="K186" s="58">
        <f t="shared" si="28"/>
        <v>20</v>
      </c>
    </row>
    <row r="187" spans="1:11" ht="17.149999999999999" customHeight="1" thickBot="1" x14ac:dyDescent="0.3">
      <c r="A187" s="36" t="s">
        <v>136</v>
      </c>
      <c r="B187" s="51"/>
      <c r="C187" s="12">
        <f>76</f>
        <v>76</v>
      </c>
      <c r="D187" s="12">
        <v>-3000</v>
      </c>
      <c r="E187" s="12">
        <f>-145-20</f>
        <v>-165</v>
      </c>
      <c r="F187" s="111">
        <f>SUM(C187:E187)+3</f>
        <v>-3086</v>
      </c>
      <c r="G187" s="12">
        <v>600.29999999999995</v>
      </c>
      <c r="H187" s="12">
        <f>-181-30+221.15</f>
        <v>10.150000000000006</v>
      </c>
      <c r="I187" s="12">
        <v>5047.5</v>
      </c>
      <c r="J187" s="12">
        <v>0</v>
      </c>
      <c r="K187" s="72">
        <f t="shared" si="28"/>
        <v>5047.5</v>
      </c>
    </row>
    <row r="188" spans="1:11" ht="15.65" customHeight="1" thickBot="1" x14ac:dyDescent="0.3">
      <c r="A188" s="37" t="s">
        <v>137</v>
      </c>
      <c r="B188" s="32"/>
      <c r="C188" s="24">
        <f t="shared" ref="C188:H188" si="29">SUM(C190)</f>
        <v>4319</v>
      </c>
      <c r="D188" s="24">
        <f t="shared" si="29"/>
        <v>2170</v>
      </c>
      <c r="E188" s="24">
        <f t="shared" si="29"/>
        <v>109</v>
      </c>
      <c r="F188" s="110">
        <f t="shared" si="29"/>
        <v>6598</v>
      </c>
      <c r="G188" s="24">
        <f t="shared" si="29"/>
        <v>0</v>
      </c>
      <c r="H188" s="24">
        <f t="shared" si="29"/>
        <v>102</v>
      </c>
      <c r="I188" s="24">
        <f>SUM(I190)</f>
        <v>190</v>
      </c>
      <c r="J188" s="24">
        <f>SUM(J190)</f>
        <v>869</v>
      </c>
      <c r="K188" s="161">
        <f t="shared" si="28"/>
        <v>1059</v>
      </c>
    </row>
    <row r="189" spans="1:11" ht="14.95" customHeight="1" x14ac:dyDescent="0.25">
      <c r="A189" s="38" t="s">
        <v>24</v>
      </c>
      <c r="B189" s="126"/>
      <c r="C189" s="8"/>
      <c r="D189" s="8"/>
      <c r="E189" s="8"/>
      <c r="F189" s="100"/>
      <c r="G189" s="8"/>
      <c r="H189" s="8"/>
      <c r="I189" s="8"/>
      <c r="J189" s="8"/>
      <c r="K189" s="58"/>
    </row>
    <row r="190" spans="1:11" ht="14.95" customHeight="1" thickBot="1" x14ac:dyDescent="0.3">
      <c r="A190" s="36" t="s">
        <v>138</v>
      </c>
      <c r="B190" s="51"/>
      <c r="C190" s="12">
        <f>605+64+650+3000</f>
        <v>4319</v>
      </c>
      <c r="D190" s="12">
        <v>2170</v>
      </c>
      <c r="E190" s="12">
        <f>109</f>
        <v>109</v>
      </c>
      <c r="F190" s="111">
        <f>SUM(C190:E190)</f>
        <v>6598</v>
      </c>
      <c r="G190" s="12">
        <v>0</v>
      </c>
      <c r="H190" s="12">
        <f>730+22+120-770</f>
        <v>102</v>
      </c>
      <c r="I190" s="15">
        <v>190</v>
      </c>
      <c r="J190" s="15">
        <f>869</f>
        <v>869</v>
      </c>
      <c r="K190" s="72">
        <f t="shared" si="28"/>
        <v>1059</v>
      </c>
    </row>
    <row r="191" spans="1:11" ht="15.65" customHeight="1" thickBot="1" x14ac:dyDescent="0.3">
      <c r="A191" s="37" t="s">
        <v>139</v>
      </c>
      <c r="B191" s="32"/>
      <c r="C191" s="24">
        <f t="shared" ref="C191:I191" si="30">SUM(C193:C206)</f>
        <v>202.87</v>
      </c>
      <c r="D191" s="24">
        <f t="shared" si="30"/>
        <v>208.54</v>
      </c>
      <c r="E191" s="24">
        <f t="shared" si="30"/>
        <v>0</v>
      </c>
      <c r="F191" s="110">
        <f t="shared" si="30"/>
        <v>411.40999999999997</v>
      </c>
      <c r="G191" s="24">
        <f t="shared" si="30"/>
        <v>-186</v>
      </c>
      <c r="H191" s="24">
        <f t="shared" si="30"/>
        <v>0</v>
      </c>
      <c r="I191" s="24">
        <f t="shared" si="30"/>
        <v>19705</v>
      </c>
      <c r="J191" s="24">
        <f>SUM(J193:J206)</f>
        <v>0</v>
      </c>
      <c r="K191" s="161">
        <f t="shared" si="28"/>
        <v>19705</v>
      </c>
    </row>
    <row r="192" spans="1:11" ht="14.95" customHeight="1" x14ac:dyDescent="0.25">
      <c r="A192" s="38" t="s">
        <v>24</v>
      </c>
      <c r="B192" s="126"/>
      <c r="C192" s="8"/>
      <c r="D192" s="8"/>
      <c r="E192" s="8"/>
      <c r="F192" s="100"/>
      <c r="G192" s="8"/>
      <c r="H192" s="8"/>
      <c r="I192" s="8"/>
      <c r="J192" s="8"/>
      <c r="K192" s="58"/>
    </row>
    <row r="193" spans="1:11" ht="26.5" customHeight="1" x14ac:dyDescent="0.25">
      <c r="A193" s="9" t="s">
        <v>217</v>
      </c>
      <c r="B193" s="34" t="s">
        <v>184</v>
      </c>
      <c r="C193" s="10">
        <v>0</v>
      </c>
      <c r="D193" s="10">
        <v>0</v>
      </c>
      <c r="E193" s="10">
        <v>0</v>
      </c>
      <c r="F193" s="100">
        <f>SUM(C193:E193)</f>
        <v>0</v>
      </c>
      <c r="G193" s="8">
        <v>-300</v>
      </c>
      <c r="H193" s="8">
        <v>0</v>
      </c>
      <c r="I193" s="8">
        <v>600</v>
      </c>
      <c r="J193" s="8">
        <v>0</v>
      </c>
      <c r="K193" s="58">
        <f t="shared" si="28"/>
        <v>600</v>
      </c>
    </row>
    <row r="194" spans="1:11" ht="14.95" customHeight="1" x14ac:dyDescent="0.25">
      <c r="A194" s="9" t="s">
        <v>216</v>
      </c>
      <c r="B194" s="34" t="s">
        <v>118</v>
      </c>
      <c r="C194" s="10">
        <v>0</v>
      </c>
      <c r="D194" s="10">
        <v>0</v>
      </c>
      <c r="E194" s="10">
        <v>0</v>
      </c>
      <c r="F194" s="100">
        <f>SUM(C194:E194)</f>
        <v>0</v>
      </c>
      <c r="G194" s="8">
        <v>-166</v>
      </c>
      <c r="H194" s="8">
        <v>0</v>
      </c>
      <c r="I194" s="8">
        <v>660</v>
      </c>
      <c r="J194" s="8">
        <v>0</v>
      </c>
      <c r="K194" s="58">
        <f t="shared" si="28"/>
        <v>660</v>
      </c>
    </row>
    <row r="195" spans="1:11" ht="26.5" customHeight="1" x14ac:dyDescent="0.25">
      <c r="A195" s="9" t="s">
        <v>218</v>
      </c>
      <c r="B195" s="34" t="s">
        <v>219</v>
      </c>
      <c r="C195" s="10">
        <v>0</v>
      </c>
      <c r="D195" s="10">
        <v>0</v>
      </c>
      <c r="E195" s="10">
        <v>0</v>
      </c>
      <c r="F195" s="100">
        <f>SUM(C195:E195)</f>
        <v>0</v>
      </c>
      <c r="G195" s="8">
        <v>0</v>
      </c>
      <c r="H195" s="8">
        <v>0</v>
      </c>
      <c r="I195" s="8">
        <v>300</v>
      </c>
      <c r="J195" s="8">
        <v>0</v>
      </c>
      <c r="K195" s="58">
        <f t="shared" si="28"/>
        <v>300</v>
      </c>
    </row>
    <row r="196" spans="1:11" ht="14.95" customHeight="1" x14ac:dyDescent="0.25">
      <c r="A196" s="9" t="s">
        <v>143</v>
      </c>
      <c r="B196" s="148" t="s">
        <v>247</v>
      </c>
      <c r="C196" s="10">
        <v>0</v>
      </c>
      <c r="D196" s="10">
        <v>413</v>
      </c>
      <c r="E196" s="10">
        <v>0</v>
      </c>
      <c r="F196" s="100">
        <f>SUM(C196:E196)</f>
        <v>413</v>
      </c>
      <c r="G196" s="8">
        <v>0</v>
      </c>
      <c r="H196" s="8">
        <v>0</v>
      </c>
      <c r="I196" s="8">
        <v>8035</v>
      </c>
      <c r="J196" s="8">
        <v>0</v>
      </c>
      <c r="K196" s="58">
        <f t="shared" si="28"/>
        <v>8035</v>
      </c>
    </row>
    <row r="197" spans="1:11" ht="17.149999999999999" customHeight="1" x14ac:dyDescent="0.25">
      <c r="A197" s="9" t="s">
        <v>144</v>
      </c>
      <c r="B197" s="34" t="s">
        <v>260</v>
      </c>
      <c r="C197" s="10">
        <v>0</v>
      </c>
      <c r="D197" s="10">
        <v>0</v>
      </c>
      <c r="E197" s="10">
        <v>0</v>
      </c>
      <c r="F197" s="100">
        <f t="shared" ref="F197:F204" si="31">SUM(C197:E197)</f>
        <v>0</v>
      </c>
      <c r="G197" s="8">
        <v>0</v>
      </c>
      <c r="H197" s="8">
        <v>0</v>
      </c>
      <c r="I197" s="8">
        <v>850</v>
      </c>
      <c r="J197" s="8">
        <v>0</v>
      </c>
      <c r="K197" s="58">
        <f t="shared" si="28"/>
        <v>850</v>
      </c>
    </row>
    <row r="198" spans="1:11" ht="27.7" customHeight="1" x14ac:dyDescent="0.25">
      <c r="A198" s="9" t="s">
        <v>145</v>
      </c>
      <c r="B198" s="34"/>
      <c r="C198" s="10">
        <v>0</v>
      </c>
      <c r="D198" s="10">
        <v>0</v>
      </c>
      <c r="E198" s="10">
        <v>0</v>
      </c>
      <c r="F198" s="109">
        <f t="shared" si="31"/>
        <v>0</v>
      </c>
      <c r="G198" s="10">
        <v>0</v>
      </c>
      <c r="H198" s="10">
        <v>0</v>
      </c>
      <c r="I198" s="10">
        <v>355</v>
      </c>
      <c r="J198" s="10">
        <v>0</v>
      </c>
      <c r="K198" s="58">
        <f t="shared" si="28"/>
        <v>355</v>
      </c>
    </row>
    <row r="199" spans="1:11" ht="14.95" customHeight="1" x14ac:dyDescent="0.25">
      <c r="A199" s="38" t="s">
        <v>146</v>
      </c>
      <c r="B199" s="126" t="s">
        <v>261</v>
      </c>
      <c r="C199" s="8">
        <v>0</v>
      </c>
      <c r="D199" s="8">
        <v>0</v>
      </c>
      <c r="E199" s="8">
        <v>0</v>
      </c>
      <c r="F199" s="100">
        <f t="shared" si="31"/>
        <v>0</v>
      </c>
      <c r="G199" s="8">
        <v>0</v>
      </c>
      <c r="H199" s="8">
        <v>0</v>
      </c>
      <c r="I199" s="8">
        <v>500</v>
      </c>
      <c r="J199" s="8">
        <v>0</v>
      </c>
      <c r="K199" s="58">
        <f t="shared" si="28"/>
        <v>500</v>
      </c>
    </row>
    <row r="200" spans="1:11" ht="14.95" customHeight="1" x14ac:dyDescent="0.25">
      <c r="A200" s="9" t="s">
        <v>147</v>
      </c>
      <c r="B200" s="34"/>
      <c r="C200" s="10">
        <v>0</v>
      </c>
      <c r="D200" s="10">
        <v>0</v>
      </c>
      <c r="E200" s="10">
        <v>0</v>
      </c>
      <c r="F200" s="100">
        <f t="shared" si="31"/>
        <v>0</v>
      </c>
      <c r="G200" s="8">
        <v>0</v>
      </c>
      <c r="H200" s="8">
        <v>0</v>
      </c>
      <c r="I200" s="8">
        <v>70</v>
      </c>
      <c r="J200" s="8">
        <v>0</v>
      </c>
      <c r="K200" s="58">
        <f t="shared" si="28"/>
        <v>70</v>
      </c>
    </row>
    <row r="201" spans="1:11" ht="27.7" customHeight="1" x14ac:dyDescent="0.25">
      <c r="A201" s="19" t="s">
        <v>221</v>
      </c>
      <c r="B201" s="34"/>
      <c r="C201" s="10">
        <v>0</v>
      </c>
      <c r="D201" s="10">
        <v>-74.36</v>
      </c>
      <c r="E201" s="10">
        <v>0</v>
      </c>
      <c r="F201" s="100">
        <f t="shared" si="31"/>
        <v>-74.36</v>
      </c>
      <c r="G201" s="8">
        <v>0</v>
      </c>
      <c r="H201" s="8">
        <v>0</v>
      </c>
      <c r="I201" s="8">
        <v>450</v>
      </c>
      <c r="J201" s="8">
        <v>0</v>
      </c>
      <c r="K201" s="58">
        <f t="shared" si="28"/>
        <v>450</v>
      </c>
    </row>
    <row r="202" spans="1:11" ht="14.95" customHeight="1" x14ac:dyDescent="0.25">
      <c r="A202" s="35" t="s">
        <v>148</v>
      </c>
      <c r="B202" s="34"/>
      <c r="C202" s="10">
        <v>0</v>
      </c>
      <c r="D202" s="10">
        <v>0</v>
      </c>
      <c r="E202" s="10">
        <v>0</v>
      </c>
      <c r="F202" s="100">
        <f t="shared" si="31"/>
        <v>0</v>
      </c>
      <c r="G202" s="8">
        <v>0</v>
      </c>
      <c r="H202" s="8">
        <v>0</v>
      </c>
      <c r="I202" s="8">
        <v>200</v>
      </c>
      <c r="J202" s="8">
        <v>0</v>
      </c>
      <c r="K202" s="58">
        <f t="shared" si="28"/>
        <v>200</v>
      </c>
    </row>
    <row r="203" spans="1:11" ht="14.95" customHeight="1" x14ac:dyDescent="0.25">
      <c r="A203" s="35" t="s">
        <v>149</v>
      </c>
      <c r="B203" s="34"/>
      <c r="C203" s="10">
        <v>0</v>
      </c>
      <c r="D203" s="10">
        <v>0</v>
      </c>
      <c r="E203" s="10">
        <v>0</v>
      </c>
      <c r="F203" s="100">
        <f t="shared" si="31"/>
        <v>0</v>
      </c>
      <c r="G203" s="8">
        <v>0</v>
      </c>
      <c r="H203" s="8">
        <v>0</v>
      </c>
      <c r="I203" s="8">
        <v>15</v>
      </c>
      <c r="J203" s="8">
        <v>0</v>
      </c>
      <c r="K203" s="58">
        <f t="shared" si="28"/>
        <v>15</v>
      </c>
    </row>
    <row r="204" spans="1:11" ht="14.95" customHeight="1" x14ac:dyDescent="0.25">
      <c r="A204" s="9" t="s">
        <v>150</v>
      </c>
      <c r="B204" s="34"/>
      <c r="C204" s="10">
        <v>0</v>
      </c>
      <c r="D204" s="10">
        <v>-220</v>
      </c>
      <c r="E204" s="10">
        <v>0</v>
      </c>
      <c r="F204" s="100">
        <f t="shared" si="31"/>
        <v>-220</v>
      </c>
      <c r="G204" s="8">
        <v>0</v>
      </c>
      <c r="H204" s="8">
        <v>0</v>
      </c>
      <c r="I204" s="8">
        <v>500</v>
      </c>
      <c r="J204" s="8">
        <v>0</v>
      </c>
      <c r="K204" s="58">
        <f t="shared" si="28"/>
        <v>500</v>
      </c>
    </row>
    <row r="205" spans="1:11" ht="14.95" customHeight="1" x14ac:dyDescent="0.25">
      <c r="A205" s="9" t="s">
        <v>26</v>
      </c>
      <c r="B205" s="34"/>
      <c r="C205" s="10"/>
      <c r="D205" s="10"/>
      <c r="E205" s="10"/>
      <c r="F205" s="109"/>
      <c r="G205" s="10"/>
      <c r="H205" s="10"/>
      <c r="I205" s="10">
        <v>0</v>
      </c>
      <c r="J205" s="10">
        <f>15</f>
        <v>15</v>
      </c>
      <c r="K205" s="162">
        <f>I205+J205</f>
        <v>15</v>
      </c>
    </row>
    <row r="206" spans="1:11" x14ac:dyDescent="0.25">
      <c r="A206" s="9" t="s">
        <v>151</v>
      </c>
      <c r="B206" s="34"/>
      <c r="C206" s="10">
        <f>24.46+178.41</f>
        <v>202.87</v>
      </c>
      <c r="D206" s="10">
        <v>89.9</v>
      </c>
      <c r="E206" s="10">
        <v>0</v>
      </c>
      <c r="F206" s="109">
        <f>SUM(C206:E206)</f>
        <v>292.77</v>
      </c>
      <c r="G206" s="10">
        <v>280</v>
      </c>
      <c r="H206" s="10">
        <v>0</v>
      </c>
      <c r="I206" s="10">
        <v>7170</v>
      </c>
      <c r="J206" s="10">
        <f>-15</f>
        <v>-15</v>
      </c>
      <c r="K206" s="162">
        <f t="shared" si="28"/>
        <v>7155</v>
      </c>
    </row>
    <row r="207" spans="1:11" ht="15.65" customHeight="1" thickBot="1" x14ac:dyDescent="0.3">
      <c r="A207" s="171" t="s">
        <v>152</v>
      </c>
      <c r="B207" s="124"/>
      <c r="C207" s="125">
        <f t="shared" ref="C207:H207" si="32">SUM(C209:C210)</f>
        <v>0</v>
      </c>
      <c r="D207" s="125">
        <f t="shared" si="32"/>
        <v>0</v>
      </c>
      <c r="E207" s="125">
        <f t="shared" si="32"/>
        <v>0</v>
      </c>
      <c r="F207" s="172">
        <f t="shared" si="32"/>
        <v>0</v>
      </c>
      <c r="G207" s="125">
        <f t="shared" si="32"/>
        <v>0</v>
      </c>
      <c r="H207" s="125">
        <f t="shared" si="32"/>
        <v>1110</v>
      </c>
      <c r="I207" s="125">
        <f>SUM(I209:I210)</f>
        <v>64789</v>
      </c>
      <c r="J207" s="125">
        <f>SUM(J209:J210)</f>
        <v>0</v>
      </c>
      <c r="K207" s="170">
        <f t="shared" si="28"/>
        <v>64789</v>
      </c>
    </row>
    <row r="208" spans="1:11" ht="12.9" customHeight="1" x14ac:dyDescent="0.25">
      <c r="A208" s="38" t="s">
        <v>24</v>
      </c>
      <c r="B208" s="126"/>
      <c r="C208" s="8"/>
      <c r="D208" s="8"/>
      <c r="E208" s="8"/>
      <c r="F208" s="100"/>
      <c r="G208" s="8"/>
      <c r="H208" s="8"/>
      <c r="I208" s="8"/>
      <c r="J208" s="8"/>
      <c r="K208" s="58"/>
    </row>
    <row r="209" spans="1:11" ht="14.95" customHeight="1" x14ac:dyDescent="0.25">
      <c r="A209" s="35" t="s">
        <v>26</v>
      </c>
      <c r="B209" s="34"/>
      <c r="C209" s="10">
        <v>0</v>
      </c>
      <c r="D209" s="10">
        <v>0</v>
      </c>
      <c r="E209" s="10">
        <v>0</v>
      </c>
      <c r="F209" s="100">
        <f>SUM(C209:E209)</f>
        <v>0</v>
      </c>
      <c r="G209" s="8">
        <v>0</v>
      </c>
      <c r="H209" s="8">
        <v>0</v>
      </c>
      <c r="I209" s="8">
        <v>300</v>
      </c>
      <c r="J209" s="8">
        <v>0</v>
      </c>
      <c r="K209" s="58">
        <f t="shared" si="28"/>
        <v>300</v>
      </c>
    </row>
    <row r="210" spans="1:11" ht="14.95" customHeight="1" thickBot="1" x14ac:dyDescent="0.3">
      <c r="A210" s="36" t="s">
        <v>153</v>
      </c>
      <c r="B210" s="51"/>
      <c r="C210" s="12">
        <v>0</v>
      </c>
      <c r="D210" s="12">
        <v>0</v>
      </c>
      <c r="E210" s="12">
        <v>0</v>
      </c>
      <c r="F210" s="111">
        <f>SUM(C210:E210)</f>
        <v>0</v>
      </c>
      <c r="G210" s="12">
        <v>0</v>
      </c>
      <c r="H210" s="12">
        <f>1110</f>
        <v>1110</v>
      </c>
      <c r="I210" s="12">
        <v>64489</v>
      </c>
      <c r="J210" s="12">
        <v>0</v>
      </c>
      <c r="K210" s="72">
        <f t="shared" si="28"/>
        <v>64489</v>
      </c>
    </row>
    <row r="211" spans="1:11" ht="15.65" customHeight="1" thickBot="1" x14ac:dyDescent="0.3">
      <c r="A211" s="37" t="s">
        <v>154</v>
      </c>
      <c r="B211" s="32"/>
      <c r="C211" s="24">
        <f t="shared" ref="C211:H211" si="33">SUM(C213:C214)</f>
        <v>-312</v>
      </c>
      <c r="D211" s="24">
        <f t="shared" si="33"/>
        <v>2000</v>
      </c>
      <c r="E211" s="24">
        <f t="shared" si="33"/>
        <v>2867.74</v>
      </c>
      <c r="F211" s="110">
        <f t="shared" si="33"/>
        <v>7200.74</v>
      </c>
      <c r="G211" s="24">
        <f t="shared" si="33"/>
        <v>253</v>
      </c>
      <c r="H211" s="24">
        <f t="shared" si="33"/>
        <v>3677.1</v>
      </c>
      <c r="I211" s="24">
        <f>SUM(I213:I214)</f>
        <v>34241</v>
      </c>
      <c r="J211" s="24">
        <f>SUM(J213:J214)</f>
        <v>0</v>
      </c>
      <c r="K211" s="161">
        <f t="shared" si="28"/>
        <v>34241</v>
      </c>
    </row>
    <row r="212" spans="1:11" ht="14.95" customHeight="1" x14ac:dyDescent="0.25">
      <c r="A212" s="38" t="s">
        <v>24</v>
      </c>
      <c r="B212" s="126"/>
      <c r="C212" s="8"/>
      <c r="D212" s="8"/>
      <c r="E212" s="8"/>
      <c r="F212" s="100"/>
      <c r="G212" s="8"/>
      <c r="H212" s="8"/>
      <c r="I212" s="8"/>
      <c r="J212" s="8"/>
      <c r="K212" s="58"/>
    </row>
    <row r="213" spans="1:11" ht="14.95" customHeight="1" x14ac:dyDescent="0.25">
      <c r="A213" s="9" t="s">
        <v>26</v>
      </c>
      <c r="B213" s="34"/>
      <c r="C213" s="10">
        <v>0</v>
      </c>
      <c r="D213" s="10">
        <v>0</v>
      </c>
      <c r="E213" s="10">
        <f>3.99</f>
        <v>3.99</v>
      </c>
      <c r="F213" s="100">
        <f>SUM(C213:E213)</f>
        <v>3.99</v>
      </c>
      <c r="G213" s="8">
        <v>0</v>
      </c>
      <c r="H213" s="8">
        <v>0</v>
      </c>
      <c r="I213" s="8">
        <v>100</v>
      </c>
      <c r="J213" s="8">
        <v>0</v>
      </c>
      <c r="K213" s="58">
        <f t="shared" si="28"/>
        <v>100</v>
      </c>
    </row>
    <row r="214" spans="1:11" ht="16.5" customHeight="1" thickBot="1" x14ac:dyDescent="0.3">
      <c r="A214" s="11" t="s">
        <v>155</v>
      </c>
      <c r="B214" s="51"/>
      <c r="C214" s="12">
        <f>-150-162</f>
        <v>-312</v>
      </c>
      <c r="D214" s="12">
        <v>2000</v>
      </c>
      <c r="E214" s="12">
        <f>413.82+710.13-231+1885.5+85.3</f>
        <v>2863.75</v>
      </c>
      <c r="F214" s="111">
        <f>SUM(C214:E214)+2645</f>
        <v>7196.75</v>
      </c>
      <c r="G214" s="12">
        <v>253</v>
      </c>
      <c r="H214" s="15">
        <f>3137.5+539.6</f>
        <v>3677.1</v>
      </c>
      <c r="I214" s="15">
        <v>34141</v>
      </c>
      <c r="J214" s="15">
        <v>0</v>
      </c>
      <c r="K214" s="72">
        <f t="shared" si="28"/>
        <v>34141</v>
      </c>
    </row>
    <row r="215" spans="1:11" ht="15.8" customHeight="1" thickBot="1" x14ac:dyDescent="0.3">
      <c r="A215" s="42" t="s">
        <v>156</v>
      </c>
      <c r="B215" s="32"/>
      <c r="C215" s="24">
        <f t="shared" ref="C215:H215" si="34">SUM(C217:C218)</f>
        <v>0</v>
      </c>
      <c r="D215" s="24">
        <f t="shared" si="34"/>
        <v>2675</v>
      </c>
      <c r="E215" s="24">
        <f t="shared" si="34"/>
        <v>198</v>
      </c>
      <c r="F215" s="110">
        <f t="shared" si="34"/>
        <v>2873</v>
      </c>
      <c r="G215" s="24">
        <f t="shared" si="34"/>
        <v>100</v>
      </c>
      <c r="H215" s="24">
        <f t="shared" si="34"/>
        <v>0</v>
      </c>
      <c r="I215" s="24">
        <f>SUM(I217:I218)</f>
        <v>8403</v>
      </c>
      <c r="J215" s="24">
        <f>SUM(J217:J218)</f>
        <v>0</v>
      </c>
      <c r="K215" s="161">
        <f t="shared" ref="K215:K261" si="35">SUM(I215:J215)</f>
        <v>8403</v>
      </c>
    </row>
    <row r="216" spans="1:11" ht="14.95" customHeight="1" x14ac:dyDescent="0.25">
      <c r="A216" s="38" t="s">
        <v>24</v>
      </c>
      <c r="B216" s="126"/>
      <c r="C216" s="8"/>
      <c r="D216" s="8"/>
      <c r="E216" s="8"/>
      <c r="F216" s="100"/>
      <c r="G216" s="8"/>
      <c r="H216" s="8"/>
      <c r="I216" s="8"/>
      <c r="J216" s="8"/>
      <c r="K216" s="58"/>
    </row>
    <row r="217" spans="1:11" ht="14.95" customHeight="1" x14ac:dyDescent="0.25">
      <c r="A217" s="35" t="s">
        <v>26</v>
      </c>
      <c r="B217" s="34"/>
      <c r="C217" s="10">
        <v>0</v>
      </c>
      <c r="D217" s="10">
        <v>0</v>
      </c>
      <c r="E217" s="10">
        <v>0</v>
      </c>
      <c r="F217" s="100">
        <f>SUM(C217:E217)</f>
        <v>0</v>
      </c>
      <c r="G217" s="8">
        <v>0</v>
      </c>
      <c r="H217" s="8">
        <v>0</v>
      </c>
      <c r="I217" s="8">
        <v>440</v>
      </c>
      <c r="J217" s="8">
        <v>0</v>
      </c>
      <c r="K217" s="58">
        <f t="shared" si="35"/>
        <v>440</v>
      </c>
    </row>
    <row r="218" spans="1:11" ht="28.55" customHeight="1" thickBot="1" x14ac:dyDescent="0.3">
      <c r="A218" s="11" t="s">
        <v>157</v>
      </c>
      <c r="B218" s="51"/>
      <c r="C218" s="12">
        <v>0</v>
      </c>
      <c r="D218" s="12">
        <v>2675</v>
      </c>
      <c r="E218" s="12">
        <f>198</f>
        <v>198</v>
      </c>
      <c r="F218" s="163">
        <f>SUM(C218:E218)</f>
        <v>2873</v>
      </c>
      <c r="G218" s="15">
        <v>100</v>
      </c>
      <c r="H218" s="15">
        <v>0</v>
      </c>
      <c r="I218" s="15">
        <v>7963</v>
      </c>
      <c r="J218" s="15">
        <v>0</v>
      </c>
      <c r="K218" s="72">
        <f t="shared" si="35"/>
        <v>7963</v>
      </c>
    </row>
    <row r="219" spans="1:11" ht="16.5" customHeight="1" thickBot="1" x14ac:dyDescent="0.3">
      <c r="A219" s="43" t="s">
        <v>158</v>
      </c>
      <c r="B219" s="44"/>
      <c r="C219" s="45">
        <f>SUM(C24+C31+C36+C44+C48+C52+C135+C147+C156+C188+C191+C207+C211+C215)</f>
        <v>-911.43999999999949</v>
      </c>
      <c r="D219" s="45">
        <f>SUM(D24+D31+D36+D44+D48+D52+D135+D147+D156+D188+D191+D207+D211+D215)</f>
        <v>65175.45</v>
      </c>
      <c r="E219" s="45">
        <f>SUM(E24+E31+E36+E44+E48+E52+E135+E147+E156+E188+E191+E207+E211+E215)</f>
        <v>10020.329999999998</v>
      </c>
      <c r="F219" s="112">
        <f>SUM(F24+F31+F36+F44+F48+F52+F135+F147+F156+F188+F191+F207+F211+F215)</f>
        <v>75876.69</v>
      </c>
      <c r="G219" s="45">
        <f>G24+G31+G36+G44+G48+G52+G135+G147+G156+G188+G191+G207+G211+G215</f>
        <v>13945.35</v>
      </c>
      <c r="H219" s="45">
        <f>SUM(H24+H31+H36+H44+H48+H52+H135+H147+H156+H188+H191+H207+H211+H215)</f>
        <v>17588.57</v>
      </c>
      <c r="I219" s="45">
        <f>I24+I31+I36+I44+I48+I52+I135+I147+I156+I188+I191+I207+I211+I215</f>
        <v>1936856.01</v>
      </c>
      <c r="J219" s="45">
        <f>J24+J31+J36+J44+J48+J52+J135+J147+J156+J188+J191+J207+J211+J215</f>
        <v>-9362.0400000000009</v>
      </c>
      <c r="K219" s="166">
        <f t="shared" si="35"/>
        <v>1927493.97</v>
      </c>
    </row>
    <row r="220" spans="1:11" ht="12.75" customHeight="1" thickBot="1" x14ac:dyDescent="0.3">
      <c r="A220" s="167"/>
      <c r="B220" s="168"/>
      <c r="C220" s="15"/>
      <c r="D220" s="15"/>
      <c r="E220" s="15"/>
      <c r="F220" s="163"/>
      <c r="G220" s="15"/>
      <c r="H220" s="15"/>
      <c r="I220" s="15"/>
      <c r="J220" s="15"/>
      <c r="K220" s="72"/>
    </row>
    <row r="221" spans="1:11" ht="15.8" customHeight="1" thickBot="1" x14ac:dyDescent="0.3">
      <c r="A221" s="99" t="s">
        <v>159</v>
      </c>
      <c r="B221" s="79"/>
      <c r="C221" s="22"/>
      <c r="D221" s="22"/>
      <c r="E221" s="22"/>
      <c r="F221" s="108"/>
      <c r="G221" s="22"/>
      <c r="H221" s="22"/>
      <c r="I221" s="22"/>
      <c r="J221" s="22"/>
      <c r="K221" s="93"/>
    </row>
    <row r="222" spans="1:11" ht="15.65" customHeight="1" thickBot="1" x14ac:dyDescent="0.3">
      <c r="A222" s="98" t="s">
        <v>233</v>
      </c>
      <c r="B222" s="118"/>
      <c r="C222" s="24">
        <f>SUM(C224)</f>
        <v>0</v>
      </c>
      <c r="D222" s="24">
        <f>SUM(D223:D224)</f>
        <v>0</v>
      </c>
      <c r="E222" s="24">
        <f t="shared" ref="E222:J222" si="36">SUM(E224)</f>
        <v>0</v>
      </c>
      <c r="F222" s="110">
        <f t="shared" si="36"/>
        <v>0</v>
      </c>
      <c r="G222" s="24">
        <f t="shared" si="36"/>
        <v>0</v>
      </c>
      <c r="H222" s="24">
        <f t="shared" si="36"/>
        <v>0</v>
      </c>
      <c r="I222" s="24">
        <f t="shared" si="36"/>
        <v>0</v>
      </c>
      <c r="J222" s="24">
        <f t="shared" si="36"/>
        <v>0</v>
      </c>
      <c r="K222" s="161">
        <f t="shared" si="35"/>
        <v>0</v>
      </c>
    </row>
    <row r="223" spans="1:11" ht="14.95" customHeight="1" x14ac:dyDescent="0.25">
      <c r="A223" s="39" t="s">
        <v>24</v>
      </c>
      <c r="B223" s="126"/>
      <c r="C223" s="8"/>
      <c r="D223" s="8"/>
      <c r="E223" s="8"/>
      <c r="F223" s="100"/>
      <c r="G223" s="8"/>
      <c r="H223" s="8"/>
      <c r="I223" s="8"/>
      <c r="J223" s="8"/>
      <c r="K223" s="58"/>
    </row>
    <row r="224" spans="1:11" ht="16.3" customHeight="1" thickBot="1" x14ac:dyDescent="0.3">
      <c r="A224" s="123" t="s">
        <v>234</v>
      </c>
      <c r="B224" s="51"/>
      <c r="C224" s="12">
        <v>0</v>
      </c>
      <c r="D224" s="12">
        <v>0</v>
      </c>
      <c r="E224" s="12">
        <v>0</v>
      </c>
      <c r="F224" s="111">
        <f>SUM(C224:E224)</f>
        <v>0</v>
      </c>
      <c r="G224" s="12">
        <v>0</v>
      </c>
      <c r="H224" s="12">
        <v>0</v>
      </c>
      <c r="I224" s="12">
        <v>0</v>
      </c>
      <c r="J224" s="12">
        <v>0</v>
      </c>
      <c r="K224" s="72">
        <f t="shared" si="35"/>
        <v>0</v>
      </c>
    </row>
    <row r="225" spans="1:11" ht="15.65" customHeight="1" thickBot="1" x14ac:dyDescent="0.3">
      <c r="A225" s="37" t="s">
        <v>160</v>
      </c>
      <c r="B225" s="32"/>
      <c r="C225" s="24">
        <f t="shared" ref="C225:H225" si="37">SUM(C227:C229)</f>
        <v>0</v>
      </c>
      <c r="D225" s="24">
        <f t="shared" si="37"/>
        <v>0</v>
      </c>
      <c r="E225" s="24">
        <f t="shared" si="37"/>
        <v>59.9</v>
      </c>
      <c r="F225" s="110">
        <f t="shared" si="37"/>
        <v>110.5</v>
      </c>
      <c r="G225" s="24">
        <f t="shared" si="37"/>
        <v>0</v>
      </c>
      <c r="H225" s="24">
        <f t="shared" si="37"/>
        <v>0</v>
      </c>
      <c r="I225" s="24">
        <f>SUM(I227:I229)</f>
        <v>320</v>
      </c>
      <c r="J225" s="24">
        <f>SUM(J227:J229)</f>
        <v>0</v>
      </c>
      <c r="K225" s="161">
        <f t="shared" si="35"/>
        <v>320</v>
      </c>
    </row>
    <row r="226" spans="1:11" ht="14.95" customHeight="1" x14ac:dyDescent="0.25">
      <c r="A226" s="38" t="s">
        <v>24</v>
      </c>
      <c r="B226" s="126"/>
      <c r="C226" s="8"/>
      <c r="D226" s="8"/>
      <c r="E226" s="8"/>
      <c r="F226" s="100"/>
      <c r="G226" s="8"/>
      <c r="H226" s="8"/>
      <c r="I226" s="8"/>
      <c r="J226" s="8"/>
      <c r="K226" s="58"/>
    </row>
    <row r="227" spans="1:11" ht="14.95" customHeight="1" x14ac:dyDescent="0.25">
      <c r="A227" s="35" t="s">
        <v>161</v>
      </c>
      <c r="B227" s="34"/>
      <c r="C227" s="10">
        <v>0</v>
      </c>
      <c r="D227" s="10">
        <v>0</v>
      </c>
      <c r="E227" s="10">
        <f>59.9</f>
        <v>59.9</v>
      </c>
      <c r="F227" s="100">
        <f>SUM(C227:E227)+50.6</f>
        <v>110.5</v>
      </c>
      <c r="G227" s="8">
        <v>0</v>
      </c>
      <c r="H227" s="8">
        <v>0</v>
      </c>
      <c r="I227" s="8">
        <v>0</v>
      </c>
      <c r="J227" s="8">
        <v>0</v>
      </c>
      <c r="K227" s="58">
        <f t="shared" si="35"/>
        <v>0</v>
      </c>
    </row>
    <row r="228" spans="1:11" ht="14.95" customHeight="1" x14ac:dyDescent="0.25">
      <c r="A228" s="35" t="s">
        <v>162</v>
      </c>
      <c r="B228" s="34"/>
      <c r="C228" s="56">
        <v>0</v>
      </c>
      <c r="D228" s="56">
        <v>0</v>
      </c>
      <c r="E228" s="56">
        <v>0</v>
      </c>
      <c r="F228" s="100">
        <f>SUM(C228:E228)</f>
        <v>0</v>
      </c>
      <c r="G228" s="8">
        <v>0</v>
      </c>
      <c r="H228" s="8">
        <v>0</v>
      </c>
      <c r="I228" s="8">
        <v>320</v>
      </c>
      <c r="J228" s="8">
        <v>0</v>
      </c>
      <c r="K228" s="58">
        <f t="shared" si="35"/>
        <v>320</v>
      </c>
    </row>
    <row r="229" spans="1:11" ht="14.95" customHeight="1" x14ac:dyDescent="0.25">
      <c r="A229" s="35" t="s">
        <v>163</v>
      </c>
      <c r="B229" s="34"/>
      <c r="C229" s="56">
        <v>0</v>
      </c>
      <c r="D229" s="56">
        <v>0</v>
      </c>
      <c r="E229" s="56">
        <v>0</v>
      </c>
      <c r="F229" s="109">
        <f>SUM(C229:E229)</f>
        <v>0</v>
      </c>
      <c r="G229" s="10">
        <v>0</v>
      </c>
      <c r="H229" s="10">
        <v>0</v>
      </c>
      <c r="I229" s="10">
        <v>0</v>
      </c>
      <c r="J229" s="10">
        <v>0</v>
      </c>
      <c r="K229" s="162">
        <f t="shared" si="35"/>
        <v>0</v>
      </c>
    </row>
    <row r="230" spans="1:11" ht="15.65" customHeight="1" thickBot="1" x14ac:dyDescent="0.3">
      <c r="A230" s="171" t="s">
        <v>29</v>
      </c>
      <c r="B230" s="124"/>
      <c r="C230" s="125">
        <f>SUM(C233:C240)</f>
        <v>-83.78</v>
      </c>
      <c r="D230" s="125">
        <f>SUM(D233:D240)</f>
        <v>73861.08</v>
      </c>
      <c r="E230" s="125">
        <f>SUM(E233:E240)</f>
        <v>-632</v>
      </c>
      <c r="F230" s="172">
        <f>SUM(F232:F240)</f>
        <v>73145.3</v>
      </c>
      <c r="G230" s="125">
        <f>SUM(G232:G240)</f>
        <v>12797</v>
      </c>
      <c r="H230" s="125">
        <f>SUM(H232:H240)</f>
        <v>-898.14</v>
      </c>
      <c r="I230" s="125">
        <f>SUM(I232:I240)</f>
        <v>159109.87</v>
      </c>
      <c r="J230" s="125">
        <f>SUM(J232:J240)</f>
        <v>0</v>
      </c>
      <c r="K230" s="170">
        <f t="shared" si="35"/>
        <v>159109.87</v>
      </c>
    </row>
    <row r="231" spans="1:11" ht="14.95" customHeight="1" x14ac:dyDescent="0.25">
      <c r="A231" s="38" t="s">
        <v>24</v>
      </c>
      <c r="B231" s="126"/>
      <c r="C231" s="8"/>
      <c r="D231" s="8"/>
      <c r="E231" s="8"/>
      <c r="F231" s="100"/>
      <c r="G231" s="8"/>
      <c r="H231" s="8"/>
      <c r="I231" s="8"/>
      <c r="J231" s="8"/>
      <c r="K231" s="58"/>
    </row>
    <row r="232" spans="1:11" ht="14.95" customHeight="1" x14ac:dyDescent="0.25">
      <c r="A232" s="38" t="s">
        <v>232</v>
      </c>
      <c r="B232" s="126"/>
      <c r="C232" s="8"/>
      <c r="D232" s="8"/>
      <c r="E232" s="8"/>
      <c r="F232" s="100">
        <v>0</v>
      </c>
      <c r="G232" s="8">
        <v>12797</v>
      </c>
      <c r="H232" s="8">
        <v>0</v>
      </c>
      <c r="I232" s="8">
        <v>0</v>
      </c>
      <c r="J232" s="8">
        <v>0</v>
      </c>
      <c r="K232" s="58">
        <f t="shared" si="35"/>
        <v>0</v>
      </c>
    </row>
    <row r="233" spans="1:11" ht="14.95" customHeight="1" x14ac:dyDescent="0.25">
      <c r="A233" s="35" t="s">
        <v>164</v>
      </c>
      <c r="B233" s="34"/>
      <c r="C233" s="10">
        <f>-44.42</f>
        <v>-44.42</v>
      </c>
      <c r="D233" s="10">
        <v>6353.67</v>
      </c>
      <c r="E233" s="10">
        <f>-33</f>
        <v>-33</v>
      </c>
      <c r="F233" s="100">
        <f t="shared" ref="F233:F240" si="38">SUM(C233:E233)</f>
        <v>6276.25</v>
      </c>
      <c r="G233" s="8">
        <v>0</v>
      </c>
      <c r="H233" s="8">
        <f>-85</f>
        <v>-85</v>
      </c>
      <c r="I233" s="8">
        <v>1600</v>
      </c>
      <c r="J233" s="8">
        <v>0</v>
      </c>
      <c r="K233" s="58">
        <f t="shared" si="35"/>
        <v>1600</v>
      </c>
    </row>
    <row r="234" spans="1:11" ht="14.95" customHeight="1" x14ac:dyDescent="0.25">
      <c r="A234" s="35" t="s">
        <v>165</v>
      </c>
      <c r="B234" s="34"/>
      <c r="C234" s="10">
        <v>0</v>
      </c>
      <c r="D234" s="10">
        <v>3277.84</v>
      </c>
      <c r="E234" s="10">
        <f>-80</f>
        <v>-80</v>
      </c>
      <c r="F234" s="100">
        <f t="shared" si="38"/>
        <v>3197.84</v>
      </c>
      <c r="G234" s="8">
        <v>0</v>
      </c>
      <c r="H234" s="8">
        <f>-21.41-584</f>
        <v>-605.41</v>
      </c>
      <c r="I234" s="8">
        <v>3100</v>
      </c>
      <c r="J234" s="8">
        <v>0</v>
      </c>
      <c r="K234" s="58">
        <f t="shared" si="35"/>
        <v>3100</v>
      </c>
    </row>
    <row r="235" spans="1:11" ht="14.95" customHeight="1" x14ac:dyDescent="0.25">
      <c r="A235" s="9" t="s">
        <v>166</v>
      </c>
      <c r="B235" s="34"/>
      <c r="C235" s="10">
        <f>-39.36</f>
        <v>-39.36</v>
      </c>
      <c r="D235" s="10">
        <v>4136.68</v>
      </c>
      <c r="E235" s="10">
        <f>-519</f>
        <v>-519</v>
      </c>
      <c r="F235" s="100">
        <f t="shared" si="38"/>
        <v>3578.3200000000006</v>
      </c>
      <c r="G235" s="8">
        <v>0</v>
      </c>
      <c r="H235" s="8">
        <f>-200</f>
        <v>-200</v>
      </c>
      <c r="I235" s="8">
        <v>1300</v>
      </c>
      <c r="J235" s="8">
        <v>0</v>
      </c>
      <c r="K235" s="58">
        <f t="shared" si="35"/>
        <v>1300</v>
      </c>
    </row>
    <row r="236" spans="1:11" ht="14.95" customHeight="1" x14ac:dyDescent="0.25">
      <c r="A236" s="35" t="s">
        <v>167</v>
      </c>
      <c r="B236" s="34"/>
      <c r="C236" s="10">
        <v>0</v>
      </c>
      <c r="D236" s="10">
        <v>6683.7</v>
      </c>
      <c r="E236" s="10">
        <v>0</v>
      </c>
      <c r="F236" s="100">
        <f t="shared" si="38"/>
        <v>6683.7</v>
      </c>
      <c r="G236" s="8">
        <v>0</v>
      </c>
      <c r="H236" s="8">
        <f>-7.73</f>
        <v>-7.73</v>
      </c>
      <c r="I236" s="8">
        <v>2900</v>
      </c>
      <c r="J236" s="8">
        <v>0</v>
      </c>
      <c r="K236" s="58">
        <f t="shared" si="35"/>
        <v>2900</v>
      </c>
    </row>
    <row r="237" spans="1:11" ht="14.95" customHeight="1" x14ac:dyDescent="0.25">
      <c r="A237" s="9" t="s">
        <v>168</v>
      </c>
      <c r="B237" s="34"/>
      <c r="C237" s="10">
        <v>0</v>
      </c>
      <c r="D237" s="10">
        <v>2221</v>
      </c>
      <c r="E237" s="10">
        <v>0</v>
      </c>
      <c r="F237" s="100">
        <f t="shared" si="38"/>
        <v>2221</v>
      </c>
      <c r="G237" s="8">
        <v>0</v>
      </c>
      <c r="H237" s="8">
        <v>0</v>
      </c>
      <c r="I237" s="8">
        <v>1100</v>
      </c>
      <c r="J237" s="8">
        <v>0</v>
      </c>
      <c r="K237" s="58">
        <f t="shared" si="35"/>
        <v>1100</v>
      </c>
    </row>
    <row r="238" spans="1:11" ht="23.95" customHeight="1" x14ac:dyDescent="0.25">
      <c r="A238" s="9" t="s">
        <v>169</v>
      </c>
      <c r="B238" s="34"/>
      <c r="C238" s="10">
        <v>0</v>
      </c>
      <c r="D238" s="10">
        <v>0</v>
      </c>
      <c r="E238" s="10">
        <v>0</v>
      </c>
      <c r="F238" s="100">
        <f t="shared" si="38"/>
        <v>0</v>
      </c>
      <c r="G238" s="8">
        <v>0</v>
      </c>
      <c r="H238" s="8">
        <v>0</v>
      </c>
      <c r="I238" s="8">
        <v>3131</v>
      </c>
      <c r="J238" s="8">
        <v>0</v>
      </c>
      <c r="K238" s="58">
        <f t="shared" si="35"/>
        <v>3131</v>
      </c>
    </row>
    <row r="239" spans="1:11" ht="14.95" customHeight="1" x14ac:dyDescent="0.25">
      <c r="A239" s="9" t="s">
        <v>170</v>
      </c>
      <c r="B239" s="34"/>
      <c r="C239" s="10">
        <v>0</v>
      </c>
      <c r="D239" s="10">
        <v>51188.19</v>
      </c>
      <c r="E239" s="10">
        <v>0</v>
      </c>
      <c r="F239" s="100">
        <f t="shared" si="38"/>
        <v>51188.19</v>
      </c>
      <c r="G239" s="8">
        <v>0</v>
      </c>
      <c r="H239" s="8">
        <v>0</v>
      </c>
      <c r="I239" s="8">
        <v>145978.87</v>
      </c>
      <c r="J239" s="8">
        <v>0</v>
      </c>
      <c r="K239" s="58">
        <f t="shared" si="35"/>
        <v>145978.87</v>
      </c>
    </row>
    <row r="240" spans="1:11" ht="17.149999999999999" customHeight="1" thickBot="1" x14ac:dyDescent="0.3">
      <c r="A240" s="36" t="s">
        <v>171</v>
      </c>
      <c r="B240" s="51"/>
      <c r="C240" s="63">
        <v>0</v>
      </c>
      <c r="D240" s="63">
        <v>0</v>
      </c>
      <c r="E240" s="63">
        <v>0</v>
      </c>
      <c r="F240" s="111">
        <f t="shared" si="38"/>
        <v>0</v>
      </c>
      <c r="G240" s="12">
        <v>0</v>
      </c>
      <c r="H240" s="12">
        <v>0</v>
      </c>
      <c r="I240" s="12">
        <v>0</v>
      </c>
      <c r="J240" s="12">
        <v>0</v>
      </c>
      <c r="K240" s="72">
        <f t="shared" si="35"/>
        <v>0</v>
      </c>
    </row>
    <row r="241" spans="1:11" ht="15.65" customHeight="1" thickBot="1" x14ac:dyDescent="0.3">
      <c r="A241" s="37" t="s">
        <v>35</v>
      </c>
      <c r="B241" s="28"/>
      <c r="C241" s="24">
        <f t="shared" ref="C241:H241" si="39">SUM(C243:C244)</f>
        <v>6726.99</v>
      </c>
      <c r="D241" s="24">
        <f t="shared" si="39"/>
        <v>20311.03</v>
      </c>
      <c r="E241" s="24">
        <f t="shared" si="39"/>
        <v>2899.5</v>
      </c>
      <c r="F241" s="110">
        <f t="shared" si="39"/>
        <v>30967.520000000004</v>
      </c>
      <c r="G241" s="24">
        <f t="shared" si="39"/>
        <v>2628</v>
      </c>
      <c r="H241" s="24">
        <f t="shared" si="39"/>
        <v>3167.0900000000006</v>
      </c>
      <c r="I241" s="24">
        <f>SUM(I243:I244)</f>
        <v>17802.48</v>
      </c>
      <c r="J241" s="24">
        <f>SUM(J243:J244)</f>
        <v>12671.72</v>
      </c>
      <c r="K241" s="161">
        <f t="shared" si="35"/>
        <v>30474.199999999997</v>
      </c>
    </row>
    <row r="242" spans="1:11" ht="14.95" customHeight="1" x14ac:dyDescent="0.25">
      <c r="A242" s="38" t="s">
        <v>24</v>
      </c>
      <c r="B242" s="126"/>
      <c r="C242" s="8"/>
      <c r="D242" s="8"/>
      <c r="E242" s="8"/>
      <c r="F242" s="100"/>
      <c r="G242" s="8"/>
      <c r="H242" s="8"/>
      <c r="I242" s="8"/>
      <c r="J242" s="8"/>
      <c r="K242" s="58"/>
    </row>
    <row r="243" spans="1:11" ht="14.95" customHeight="1" x14ac:dyDescent="0.25">
      <c r="A243" s="35" t="s">
        <v>161</v>
      </c>
      <c r="B243" s="34"/>
      <c r="C243" s="10">
        <f>5013+480</f>
        <v>5493</v>
      </c>
      <c r="D243" s="10">
        <v>1030.19</v>
      </c>
      <c r="E243" s="10">
        <f>1156.5+1324+71+348</f>
        <v>2899.5</v>
      </c>
      <c r="F243" s="100">
        <f>SUM(C243:E243)+1030</f>
        <v>10452.69</v>
      </c>
      <c r="G243" s="8">
        <v>0</v>
      </c>
      <c r="H243" s="8">
        <f>1058.5+3209.27+91-1451.6+259.92</f>
        <v>3167.0900000000006</v>
      </c>
      <c r="I243" s="8">
        <v>17252.48</v>
      </c>
      <c r="J243" s="8">
        <f>9470.72+1684</f>
        <v>11154.72</v>
      </c>
      <c r="K243" s="58">
        <f t="shared" si="35"/>
        <v>28407.199999999997</v>
      </c>
    </row>
    <row r="244" spans="1:11" ht="14.95" customHeight="1" thickBot="1" x14ac:dyDescent="0.3">
      <c r="A244" s="11" t="s">
        <v>172</v>
      </c>
      <c r="B244" s="51"/>
      <c r="C244" s="12">
        <f>100+1133.99</f>
        <v>1233.99</v>
      </c>
      <c r="D244" s="12">
        <v>19280.84</v>
      </c>
      <c r="E244" s="12">
        <v>0</v>
      </c>
      <c r="F244" s="111">
        <f>SUM(C244:E244)</f>
        <v>20514.830000000002</v>
      </c>
      <c r="G244" s="12">
        <v>2628</v>
      </c>
      <c r="H244" s="12">
        <v>0</v>
      </c>
      <c r="I244" s="12">
        <v>550</v>
      </c>
      <c r="J244" s="12">
        <f>1317+200</f>
        <v>1517</v>
      </c>
      <c r="K244" s="72">
        <f t="shared" si="35"/>
        <v>2067</v>
      </c>
    </row>
    <row r="245" spans="1:11" ht="15.8" customHeight="1" thickBot="1" x14ac:dyDescent="0.3">
      <c r="A245" s="37" t="s">
        <v>37</v>
      </c>
      <c r="B245" s="32"/>
      <c r="C245" s="78">
        <f t="shared" ref="C245:H245" si="40">SUM(C247:C248)</f>
        <v>0</v>
      </c>
      <c r="D245" s="78">
        <f t="shared" si="40"/>
        <v>0</v>
      </c>
      <c r="E245" s="78">
        <f t="shared" si="40"/>
        <v>0</v>
      </c>
      <c r="F245" s="114">
        <f t="shared" si="40"/>
        <v>0</v>
      </c>
      <c r="G245" s="113">
        <f t="shared" si="40"/>
        <v>0</v>
      </c>
      <c r="H245" s="113">
        <f t="shared" si="40"/>
        <v>0</v>
      </c>
      <c r="I245" s="24">
        <f>SUM(I247:I248)</f>
        <v>0</v>
      </c>
      <c r="J245" s="24">
        <f>SUM(J247:J248)</f>
        <v>0</v>
      </c>
      <c r="K245" s="161">
        <f t="shared" si="35"/>
        <v>0</v>
      </c>
    </row>
    <row r="246" spans="1:11" ht="12.1" customHeight="1" x14ac:dyDescent="0.25">
      <c r="A246" s="38" t="s">
        <v>24</v>
      </c>
      <c r="B246" s="126"/>
      <c r="C246" s="18"/>
      <c r="D246" s="18"/>
      <c r="E246" s="18"/>
      <c r="F246" s="100"/>
      <c r="G246" s="8"/>
      <c r="H246" s="8"/>
      <c r="I246" s="8"/>
      <c r="J246" s="8"/>
      <c r="K246" s="58"/>
    </row>
    <row r="247" spans="1:11" ht="14.95" customHeight="1" x14ac:dyDescent="0.25">
      <c r="A247" s="35" t="s">
        <v>161</v>
      </c>
      <c r="B247" s="34"/>
      <c r="C247" s="64">
        <v>0</v>
      </c>
      <c r="D247" s="64">
        <v>0</v>
      </c>
      <c r="E247" s="64">
        <v>0</v>
      </c>
      <c r="F247" s="100">
        <f>SUM(C247:E247)</f>
        <v>0</v>
      </c>
      <c r="G247" s="8">
        <v>0</v>
      </c>
      <c r="H247" s="8">
        <v>0</v>
      </c>
      <c r="I247" s="8">
        <v>0</v>
      </c>
      <c r="J247" s="8">
        <v>0</v>
      </c>
      <c r="K247" s="58">
        <f t="shared" si="35"/>
        <v>0</v>
      </c>
    </row>
    <row r="248" spans="1:11" ht="14.95" customHeight="1" x14ac:dyDescent="0.25">
      <c r="A248" s="35" t="s">
        <v>173</v>
      </c>
      <c r="B248" s="34"/>
      <c r="C248" s="64">
        <v>0</v>
      </c>
      <c r="D248" s="64">
        <v>0</v>
      </c>
      <c r="E248" s="64">
        <v>0</v>
      </c>
      <c r="F248" s="109">
        <f>SUM(C248:E248)</f>
        <v>0</v>
      </c>
      <c r="G248" s="10">
        <v>0</v>
      </c>
      <c r="H248" s="10">
        <v>0</v>
      </c>
      <c r="I248" s="10">
        <v>0</v>
      </c>
      <c r="J248" s="10">
        <v>0</v>
      </c>
      <c r="K248" s="162">
        <f t="shared" si="35"/>
        <v>0</v>
      </c>
    </row>
    <row r="249" spans="1:11" ht="15.65" customHeight="1" thickBot="1" x14ac:dyDescent="0.3">
      <c r="A249" s="171" t="s">
        <v>39</v>
      </c>
      <c r="B249" s="124"/>
      <c r="C249" s="125">
        <f t="shared" ref="C249:J249" si="41">SUM(C251:C252)</f>
        <v>130</v>
      </c>
      <c r="D249" s="125">
        <f t="shared" si="41"/>
        <v>0</v>
      </c>
      <c r="E249" s="125">
        <f t="shared" si="41"/>
        <v>255</v>
      </c>
      <c r="F249" s="172">
        <f t="shared" si="41"/>
        <v>385</v>
      </c>
      <c r="G249" s="125">
        <f t="shared" si="41"/>
        <v>0</v>
      </c>
      <c r="H249" s="125">
        <f t="shared" si="41"/>
        <v>70</v>
      </c>
      <c r="I249" s="125">
        <f t="shared" si="41"/>
        <v>4000</v>
      </c>
      <c r="J249" s="125">
        <f t="shared" si="41"/>
        <v>-300</v>
      </c>
      <c r="K249" s="170">
        <f t="shared" si="35"/>
        <v>3700</v>
      </c>
    </row>
    <row r="250" spans="1:11" ht="14.95" customHeight="1" x14ac:dyDescent="0.25">
      <c r="A250" s="38" t="s">
        <v>24</v>
      </c>
      <c r="B250" s="126"/>
      <c r="C250" s="8"/>
      <c r="D250" s="8"/>
      <c r="E250" s="8"/>
      <c r="F250" s="100"/>
      <c r="G250" s="8"/>
      <c r="H250" s="8"/>
      <c r="I250" s="8"/>
      <c r="J250" s="8"/>
      <c r="K250" s="58"/>
    </row>
    <row r="251" spans="1:11" ht="14.95" customHeight="1" x14ac:dyDescent="0.25">
      <c r="A251" s="35" t="s">
        <v>161</v>
      </c>
      <c r="B251" s="34"/>
      <c r="C251" s="10">
        <v>130</v>
      </c>
      <c r="D251" s="10">
        <v>0</v>
      </c>
      <c r="E251" s="10">
        <f>70+150+35</f>
        <v>255</v>
      </c>
      <c r="F251" s="100">
        <f>SUM(C251:E251)</f>
        <v>385</v>
      </c>
      <c r="G251" s="8">
        <v>0</v>
      </c>
      <c r="H251" s="8">
        <f>70</f>
        <v>70</v>
      </c>
      <c r="I251" s="8">
        <v>4000</v>
      </c>
      <c r="J251" s="8">
        <f>-300</f>
        <v>-300</v>
      </c>
      <c r="K251" s="58">
        <f t="shared" si="35"/>
        <v>3700</v>
      </c>
    </row>
    <row r="252" spans="1:11" ht="14.95" customHeight="1" thickBot="1" x14ac:dyDescent="0.3">
      <c r="A252" s="36" t="s">
        <v>174</v>
      </c>
      <c r="B252" s="51"/>
      <c r="C252" s="12">
        <v>0</v>
      </c>
      <c r="D252" s="12">
        <v>0</v>
      </c>
      <c r="E252" s="12">
        <v>0</v>
      </c>
      <c r="F252" s="111">
        <f t="shared" ref="F252" si="42">SUM(C252:E252)</f>
        <v>0</v>
      </c>
      <c r="G252" s="12">
        <v>0</v>
      </c>
      <c r="H252" s="12">
        <v>0</v>
      </c>
      <c r="I252" s="12">
        <v>0</v>
      </c>
      <c r="J252" s="15">
        <v>0</v>
      </c>
      <c r="K252" s="72">
        <f t="shared" si="35"/>
        <v>0</v>
      </c>
    </row>
    <row r="253" spans="1:11" ht="15.65" customHeight="1" thickBot="1" x14ac:dyDescent="0.3">
      <c r="A253" s="37" t="s">
        <v>100</v>
      </c>
      <c r="B253" s="32"/>
      <c r="C253" s="24">
        <f t="shared" ref="C253:H253" si="43">SUM(C255:C256)</f>
        <v>0</v>
      </c>
      <c r="D253" s="24">
        <f t="shared" si="43"/>
        <v>17550</v>
      </c>
      <c r="E253" s="24">
        <f t="shared" si="43"/>
        <v>-7300</v>
      </c>
      <c r="F253" s="110">
        <f t="shared" si="43"/>
        <v>10422</v>
      </c>
      <c r="G253" s="24">
        <f t="shared" si="43"/>
        <v>6000</v>
      </c>
      <c r="H253" s="24">
        <f t="shared" si="43"/>
        <v>-13928</v>
      </c>
      <c r="I253" s="24">
        <f>SUM(I255:I256)</f>
        <v>25005</v>
      </c>
      <c r="J253" s="24">
        <f>SUM(J255:J256)</f>
        <v>105</v>
      </c>
      <c r="K253" s="161">
        <f t="shared" si="35"/>
        <v>25110</v>
      </c>
    </row>
    <row r="254" spans="1:11" ht="14.95" customHeight="1" x14ac:dyDescent="0.25">
      <c r="A254" s="38" t="s">
        <v>24</v>
      </c>
      <c r="B254" s="126"/>
      <c r="C254" s="8"/>
      <c r="D254" s="8"/>
      <c r="E254" s="8"/>
      <c r="F254" s="100"/>
      <c r="G254" s="8"/>
      <c r="H254" s="8"/>
      <c r="I254" s="8"/>
      <c r="J254" s="8"/>
      <c r="K254" s="58"/>
    </row>
    <row r="255" spans="1:11" ht="14.95" customHeight="1" x14ac:dyDescent="0.25">
      <c r="A255" s="35" t="s">
        <v>161</v>
      </c>
      <c r="B255" s="34"/>
      <c r="C255" s="10">
        <v>0</v>
      </c>
      <c r="D255" s="10">
        <v>17550</v>
      </c>
      <c r="E255" s="10">
        <f>80-7380</f>
        <v>-7300</v>
      </c>
      <c r="F255" s="100">
        <f>SUM(C255:E255)+172</f>
        <v>10422</v>
      </c>
      <c r="G255" s="8">
        <v>6000</v>
      </c>
      <c r="H255" s="8">
        <f>-13928</f>
        <v>-13928</v>
      </c>
      <c r="I255" s="8">
        <v>25005</v>
      </c>
      <c r="J255" s="8">
        <f>105</f>
        <v>105</v>
      </c>
      <c r="K255" s="58">
        <f t="shared" si="35"/>
        <v>25110</v>
      </c>
    </row>
    <row r="256" spans="1:11" ht="15.65" customHeight="1" x14ac:dyDescent="0.25">
      <c r="A256" s="9" t="s">
        <v>175</v>
      </c>
      <c r="B256" s="34"/>
      <c r="C256" s="56">
        <v>0</v>
      </c>
      <c r="D256" s="56">
        <v>0</v>
      </c>
      <c r="E256" s="56">
        <v>0</v>
      </c>
      <c r="F256" s="109">
        <f>SUM(C256:E256)</f>
        <v>0</v>
      </c>
      <c r="G256" s="10">
        <v>0</v>
      </c>
      <c r="H256" s="10">
        <v>0</v>
      </c>
      <c r="I256" s="10">
        <v>0</v>
      </c>
      <c r="J256" s="10">
        <v>0</v>
      </c>
      <c r="K256" s="162">
        <f t="shared" si="35"/>
        <v>0</v>
      </c>
    </row>
    <row r="257" spans="1:11" ht="15.8" customHeight="1" thickBot="1" x14ac:dyDescent="0.3">
      <c r="A257" s="173" t="s">
        <v>107</v>
      </c>
      <c r="B257" s="124"/>
      <c r="C257" s="174">
        <f t="shared" ref="C257:J257" si="44">SUM(C259:C262)</f>
        <v>-16.579999999999998</v>
      </c>
      <c r="D257" s="175">
        <f t="shared" si="44"/>
        <v>6622.2</v>
      </c>
      <c r="E257" s="175">
        <f t="shared" si="44"/>
        <v>-522.20000000000005</v>
      </c>
      <c r="F257" s="172">
        <f t="shared" si="44"/>
        <v>6083.42</v>
      </c>
      <c r="G257" s="125">
        <f t="shared" si="44"/>
        <v>0</v>
      </c>
      <c r="H257" s="125">
        <f t="shared" si="44"/>
        <v>-165</v>
      </c>
      <c r="I257" s="125">
        <f t="shared" si="44"/>
        <v>6786.01</v>
      </c>
      <c r="J257" s="125">
        <f t="shared" si="44"/>
        <v>0</v>
      </c>
      <c r="K257" s="170">
        <f t="shared" si="35"/>
        <v>6786.01</v>
      </c>
    </row>
    <row r="258" spans="1:11" ht="14.95" customHeight="1" x14ac:dyDescent="0.25">
      <c r="A258" s="87" t="s">
        <v>24</v>
      </c>
      <c r="B258" s="126"/>
      <c r="C258" s="57"/>
      <c r="D258" s="82"/>
      <c r="E258" s="82"/>
      <c r="F258" s="100"/>
      <c r="G258" s="8"/>
      <c r="H258" s="8"/>
      <c r="I258" s="8"/>
      <c r="J258" s="8"/>
      <c r="K258" s="58"/>
    </row>
    <row r="259" spans="1:11" ht="14.95" customHeight="1" x14ac:dyDescent="0.25">
      <c r="A259" s="88" t="s">
        <v>161</v>
      </c>
      <c r="B259" s="34"/>
      <c r="C259" s="56">
        <f>-16.58</f>
        <v>-16.579999999999998</v>
      </c>
      <c r="D259" s="83">
        <v>522.20000000000005</v>
      </c>
      <c r="E259" s="83">
        <f>-522.2</f>
        <v>-522.20000000000005</v>
      </c>
      <c r="F259" s="100">
        <f t="shared" ref="F259:F262" si="45">SUM(C259:E259)</f>
        <v>-16.579999999999984</v>
      </c>
      <c r="G259" s="8">
        <v>0</v>
      </c>
      <c r="H259" s="8">
        <f>-250+85</f>
        <v>-165</v>
      </c>
      <c r="I259" s="8">
        <v>1086.01</v>
      </c>
      <c r="J259" s="8">
        <v>0</v>
      </c>
      <c r="K259" s="58">
        <f t="shared" si="35"/>
        <v>1086.01</v>
      </c>
    </row>
    <row r="260" spans="1:11" ht="27.7" customHeight="1" x14ac:dyDescent="0.25">
      <c r="A260" s="9" t="s">
        <v>177</v>
      </c>
      <c r="B260" s="34" t="s">
        <v>109</v>
      </c>
      <c r="C260" s="56">
        <v>0</v>
      </c>
      <c r="D260" s="56">
        <v>0</v>
      </c>
      <c r="E260" s="56">
        <v>0</v>
      </c>
      <c r="F260" s="100">
        <f t="shared" si="45"/>
        <v>0</v>
      </c>
      <c r="G260" s="8">
        <v>0</v>
      </c>
      <c r="H260" s="8">
        <v>0</v>
      </c>
      <c r="I260" s="8">
        <v>700</v>
      </c>
      <c r="J260" s="8">
        <v>0</v>
      </c>
      <c r="K260" s="58">
        <f t="shared" si="35"/>
        <v>700</v>
      </c>
    </row>
    <row r="261" spans="1:11" ht="26.5" customHeight="1" x14ac:dyDescent="0.25">
      <c r="A261" s="9" t="s">
        <v>220</v>
      </c>
      <c r="B261" s="34" t="s">
        <v>115</v>
      </c>
      <c r="C261" s="56">
        <v>0</v>
      </c>
      <c r="D261" s="56">
        <v>6100</v>
      </c>
      <c r="E261" s="56">
        <v>0</v>
      </c>
      <c r="F261" s="100">
        <f t="shared" si="45"/>
        <v>6100</v>
      </c>
      <c r="G261" s="8">
        <v>0</v>
      </c>
      <c r="H261" s="8">
        <v>0</v>
      </c>
      <c r="I261" s="8">
        <v>5000</v>
      </c>
      <c r="J261" s="8">
        <v>0</v>
      </c>
      <c r="K261" s="58">
        <f t="shared" si="35"/>
        <v>5000</v>
      </c>
    </row>
    <row r="262" spans="1:11" ht="17.7" customHeight="1" thickBot="1" x14ac:dyDescent="0.3">
      <c r="A262" s="11" t="s">
        <v>178</v>
      </c>
      <c r="B262" s="51"/>
      <c r="C262" s="63">
        <v>0</v>
      </c>
      <c r="D262" s="63">
        <v>0</v>
      </c>
      <c r="E262" s="63">
        <v>0</v>
      </c>
      <c r="F262" s="111">
        <f t="shared" si="45"/>
        <v>0</v>
      </c>
      <c r="G262" s="12">
        <v>0</v>
      </c>
      <c r="H262" s="12">
        <v>0</v>
      </c>
      <c r="I262" s="12">
        <v>0</v>
      </c>
      <c r="J262" s="12">
        <v>0</v>
      </c>
      <c r="K262" s="72">
        <f t="shared" ref="K262:K301" si="46">SUM(I262:J262)</f>
        <v>0</v>
      </c>
    </row>
    <row r="263" spans="1:11" ht="15.65" customHeight="1" thickBot="1" x14ac:dyDescent="0.3">
      <c r="A263" s="37" t="s">
        <v>114</v>
      </c>
      <c r="B263" s="32"/>
      <c r="C263" s="24">
        <f t="shared" ref="C263:J263" si="47">SUM(C265:C266)</f>
        <v>0</v>
      </c>
      <c r="D263" s="24">
        <f t="shared" si="47"/>
        <v>0</v>
      </c>
      <c r="E263" s="24">
        <f t="shared" si="47"/>
        <v>0</v>
      </c>
      <c r="F263" s="110">
        <f t="shared" si="47"/>
        <v>0</v>
      </c>
      <c r="G263" s="24">
        <f t="shared" si="47"/>
        <v>0</v>
      </c>
      <c r="H263" s="24">
        <f t="shared" si="47"/>
        <v>0</v>
      </c>
      <c r="I263" s="24">
        <f t="shared" si="47"/>
        <v>1000</v>
      </c>
      <c r="J263" s="24">
        <f t="shared" si="47"/>
        <v>0</v>
      </c>
      <c r="K263" s="161">
        <f t="shared" si="46"/>
        <v>1000</v>
      </c>
    </row>
    <row r="264" spans="1:11" ht="14.95" customHeight="1" x14ac:dyDescent="0.25">
      <c r="A264" s="38" t="s">
        <v>24</v>
      </c>
      <c r="B264" s="126"/>
      <c r="C264" s="8"/>
      <c r="D264" s="8"/>
      <c r="E264" s="8"/>
      <c r="F264" s="100"/>
      <c r="G264" s="8"/>
      <c r="H264" s="8"/>
      <c r="I264" s="8"/>
      <c r="J264" s="8"/>
      <c r="K264" s="58"/>
    </row>
    <row r="265" spans="1:11" ht="14.95" customHeight="1" x14ac:dyDescent="0.25">
      <c r="A265" s="9" t="s">
        <v>179</v>
      </c>
      <c r="B265" s="34" t="s">
        <v>247</v>
      </c>
      <c r="C265" s="10">
        <v>0</v>
      </c>
      <c r="D265" s="10">
        <v>0</v>
      </c>
      <c r="E265" s="10">
        <v>0</v>
      </c>
      <c r="F265" s="100">
        <f>SUM(C265:E265)</f>
        <v>0</v>
      </c>
      <c r="G265" s="8">
        <v>0</v>
      </c>
      <c r="H265" s="8">
        <v>0</v>
      </c>
      <c r="I265" s="8">
        <v>1000</v>
      </c>
      <c r="J265" s="8">
        <v>0</v>
      </c>
      <c r="K265" s="58">
        <f t="shared" si="46"/>
        <v>1000</v>
      </c>
    </row>
    <row r="266" spans="1:11" ht="17.7" customHeight="1" thickBot="1" x14ac:dyDescent="0.3">
      <c r="A266" s="36" t="s">
        <v>180</v>
      </c>
      <c r="B266" s="51"/>
      <c r="C266" s="63">
        <v>0</v>
      </c>
      <c r="D266" s="63">
        <v>0</v>
      </c>
      <c r="E266" s="63">
        <v>0</v>
      </c>
      <c r="F266" s="111">
        <f>SUM(C266:E266)</f>
        <v>0</v>
      </c>
      <c r="G266" s="12">
        <v>0</v>
      </c>
      <c r="H266" s="12">
        <v>0</v>
      </c>
      <c r="I266" s="12">
        <v>0</v>
      </c>
      <c r="J266" s="12">
        <v>0</v>
      </c>
      <c r="K266" s="72">
        <f t="shared" si="46"/>
        <v>0</v>
      </c>
    </row>
    <row r="267" spans="1:11" ht="15.8" customHeight="1" thickBot="1" x14ac:dyDescent="0.3">
      <c r="A267" s="86" t="s">
        <v>137</v>
      </c>
      <c r="B267" s="32"/>
      <c r="C267" s="24">
        <f t="shared" ref="C267:H267" si="48">SUM(C269:C273)</f>
        <v>-4319</v>
      </c>
      <c r="D267" s="155">
        <f t="shared" si="48"/>
        <v>26830</v>
      </c>
      <c r="E267" s="155">
        <f t="shared" si="48"/>
        <v>410</v>
      </c>
      <c r="F267" s="110">
        <f t="shared" si="48"/>
        <v>22921</v>
      </c>
      <c r="G267" s="24">
        <f t="shared" si="48"/>
        <v>0</v>
      </c>
      <c r="H267" s="24">
        <f t="shared" si="48"/>
        <v>-102</v>
      </c>
      <c r="I267" s="24">
        <f>SUM(I269:I273)</f>
        <v>265329</v>
      </c>
      <c r="J267" s="24">
        <f>SUM(J269:J273)</f>
        <v>-869</v>
      </c>
      <c r="K267" s="161">
        <f t="shared" si="46"/>
        <v>264460</v>
      </c>
    </row>
    <row r="268" spans="1:11" ht="12.9" customHeight="1" x14ac:dyDescent="0.25">
      <c r="A268" s="87" t="s">
        <v>24</v>
      </c>
      <c r="B268" s="126"/>
      <c r="C268" s="8"/>
      <c r="D268" s="84"/>
      <c r="E268" s="84"/>
      <c r="F268" s="100"/>
      <c r="G268" s="8"/>
      <c r="H268" s="8"/>
      <c r="I268" s="8"/>
      <c r="J268" s="8"/>
      <c r="K268" s="58"/>
    </row>
    <row r="269" spans="1:11" ht="17.149999999999999" customHeight="1" x14ac:dyDescent="0.25">
      <c r="A269" s="88" t="s">
        <v>161</v>
      </c>
      <c r="B269" s="34"/>
      <c r="C269" s="10">
        <f>16231+13488+23150</f>
        <v>52869</v>
      </c>
      <c r="D269" s="85">
        <v>13938</v>
      </c>
      <c r="E269" s="85">
        <f>10115+33200+9100+240</f>
        <v>52655</v>
      </c>
      <c r="F269" s="100">
        <f>SUM(C269:E269)+1735</f>
        <v>121197</v>
      </c>
      <c r="G269" s="8">
        <v>0</v>
      </c>
      <c r="H269" s="8">
        <f>7100+3810+2000+15601+1110-120+5089</f>
        <v>34590</v>
      </c>
      <c r="I269" s="8">
        <v>261329</v>
      </c>
      <c r="J269" s="8">
        <f>-869</f>
        <v>-869</v>
      </c>
      <c r="K269" s="58">
        <f t="shared" si="46"/>
        <v>260460</v>
      </c>
    </row>
    <row r="270" spans="1:11" ht="14.95" customHeight="1" x14ac:dyDescent="0.25">
      <c r="A270" s="9" t="s">
        <v>181</v>
      </c>
      <c r="B270" s="34"/>
      <c r="C270" s="10">
        <v>0</v>
      </c>
      <c r="D270" s="85">
        <v>0</v>
      </c>
      <c r="E270" s="85">
        <v>0</v>
      </c>
      <c r="F270" s="100">
        <f>SUM(C270:E270)</f>
        <v>0</v>
      </c>
      <c r="G270" s="8">
        <v>0</v>
      </c>
      <c r="H270" s="8">
        <v>0</v>
      </c>
      <c r="I270" s="8">
        <v>1000</v>
      </c>
      <c r="J270" s="8">
        <v>0</v>
      </c>
      <c r="K270" s="58">
        <f t="shared" si="46"/>
        <v>1000</v>
      </c>
    </row>
    <row r="271" spans="1:11" ht="16.3" customHeight="1" x14ac:dyDescent="0.25">
      <c r="A271" s="35" t="s">
        <v>182</v>
      </c>
      <c r="B271" s="34"/>
      <c r="C271" s="10">
        <f>-16836-13552-650-26150</f>
        <v>-57188</v>
      </c>
      <c r="D271" s="10">
        <v>12892</v>
      </c>
      <c r="E271" s="10">
        <f>-9705-33200-9100-240</f>
        <v>-52245</v>
      </c>
      <c r="F271" s="100">
        <f>SUM(C271:E271)-1735</f>
        <v>-98276</v>
      </c>
      <c r="G271" s="8">
        <v>0</v>
      </c>
      <c r="H271" s="8">
        <f>-7100-4540-2000-15623-1110-4319</f>
        <v>-34692</v>
      </c>
      <c r="I271" s="8">
        <v>0</v>
      </c>
      <c r="J271" s="8">
        <v>0</v>
      </c>
      <c r="K271" s="58">
        <f t="shared" si="46"/>
        <v>0</v>
      </c>
    </row>
    <row r="272" spans="1:11" ht="28.2" customHeight="1" x14ac:dyDescent="0.25">
      <c r="A272" s="9" t="s">
        <v>176</v>
      </c>
      <c r="B272" s="34"/>
      <c r="C272" s="10">
        <v>0</v>
      </c>
      <c r="D272" s="10">
        <v>0</v>
      </c>
      <c r="E272" s="10">
        <v>0</v>
      </c>
      <c r="F272" s="100">
        <f>SUM(C272:E272)</f>
        <v>0</v>
      </c>
      <c r="G272" s="8">
        <v>0</v>
      </c>
      <c r="H272" s="8">
        <v>0</v>
      </c>
      <c r="I272" s="8">
        <v>3000</v>
      </c>
      <c r="J272" s="8">
        <v>0</v>
      </c>
      <c r="K272" s="58">
        <f t="shared" si="46"/>
        <v>3000</v>
      </c>
    </row>
    <row r="273" spans="1:11" ht="19.2" customHeight="1" thickBot="1" x14ac:dyDescent="0.3">
      <c r="A273" s="36" t="s">
        <v>183</v>
      </c>
      <c r="B273" s="51"/>
      <c r="C273" s="63">
        <v>0</v>
      </c>
      <c r="D273" s="63">
        <v>0</v>
      </c>
      <c r="E273" s="63">
        <v>0</v>
      </c>
      <c r="F273" s="111">
        <f>SUM(C273:E273)</f>
        <v>0</v>
      </c>
      <c r="G273" s="12">
        <v>0</v>
      </c>
      <c r="H273" s="12">
        <v>0</v>
      </c>
      <c r="I273" s="12">
        <v>0</v>
      </c>
      <c r="J273" s="12">
        <v>0</v>
      </c>
      <c r="K273" s="72">
        <f t="shared" si="46"/>
        <v>0</v>
      </c>
    </row>
    <row r="274" spans="1:11" ht="15.65" customHeight="1" thickBot="1" x14ac:dyDescent="0.3">
      <c r="A274" s="37" t="s">
        <v>139</v>
      </c>
      <c r="B274" s="32"/>
      <c r="C274" s="24">
        <f t="shared" ref="C274:H274" si="49">SUM(C277:C280)</f>
        <v>0</v>
      </c>
      <c r="D274" s="24">
        <f t="shared" si="49"/>
        <v>868.1</v>
      </c>
      <c r="E274" s="24">
        <f t="shared" si="49"/>
        <v>0</v>
      </c>
      <c r="F274" s="110">
        <f t="shared" si="49"/>
        <v>868.1</v>
      </c>
      <c r="G274" s="24">
        <f t="shared" si="49"/>
        <v>0</v>
      </c>
      <c r="H274" s="24">
        <f t="shared" si="49"/>
        <v>0</v>
      </c>
      <c r="I274" s="24">
        <f>SUM(I276:I280)</f>
        <v>1700</v>
      </c>
      <c r="J274" s="24">
        <f>SUM(J277:J280)</f>
        <v>0</v>
      </c>
      <c r="K274" s="161">
        <f t="shared" si="46"/>
        <v>1700</v>
      </c>
    </row>
    <row r="275" spans="1:11" ht="14.95" customHeight="1" x14ac:dyDescent="0.25">
      <c r="A275" s="38" t="s">
        <v>24</v>
      </c>
      <c r="B275" s="126"/>
      <c r="C275" s="8"/>
      <c r="D275" s="8"/>
      <c r="E275" s="8"/>
      <c r="F275" s="100"/>
      <c r="G275" s="8"/>
      <c r="H275" s="8"/>
      <c r="I275" s="8"/>
      <c r="J275" s="8"/>
      <c r="K275" s="58"/>
    </row>
    <row r="276" spans="1:11" ht="26.15" customHeight="1" x14ac:dyDescent="0.25">
      <c r="A276" s="9" t="s">
        <v>255</v>
      </c>
      <c r="B276" s="34" t="s">
        <v>142</v>
      </c>
      <c r="C276" s="10"/>
      <c r="D276" s="10"/>
      <c r="E276" s="10"/>
      <c r="F276" s="100"/>
      <c r="G276" s="8"/>
      <c r="H276" s="8"/>
      <c r="I276" s="8">
        <v>500</v>
      </c>
      <c r="J276" s="8">
        <v>0</v>
      </c>
      <c r="K276" s="58">
        <f t="shared" si="46"/>
        <v>500</v>
      </c>
    </row>
    <row r="277" spans="1:11" ht="17.7" customHeight="1" x14ac:dyDescent="0.25">
      <c r="A277" s="35" t="s">
        <v>185</v>
      </c>
      <c r="B277" s="34"/>
      <c r="C277" s="10">
        <v>0</v>
      </c>
      <c r="D277" s="10">
        <v>0</v>
      </c>
      <c r="E277" s="10">
        <v>0</v>
      </c>
      <c r="F277" s="100">
        <f>SUM(C277:E277)</f>
        <v>0</v>
      </c>
      <c r="G277" s="8">
        <v>0</v>
      </c>
      <c r="H277" s="8">
        <v>0</v>
      </c>
      <c r="I277" s="8">
        <v>1000</v>
      </c>
      <c r="J277" s="8">
        <v>0</v>
      </c>
      <c r="K277" s="58">
        <f t="shared" si="46"/>
        <v>1000</v>
      </c>
    </row>
    <row r="278" spans="1:11" ht="14.95" customHeight="1" x14ac:dyDescent="0.25">
      <c r="A278" s="35" t="s">
        <v>161</v>
      </c>
      <c r="B278" s="34"/>
      <c r="C278" s="10">
        <v>0</v>
      </c>
      <c r="D278" s="10">
        <v>60</v>
      </c>
      <c r="E278" s="10">
        <f>98.01</f>
        <v>98.01</v>
      </c>
      <c r="F278" s="100">
        <f>SUM(C278:E278)</f>
        <v>158.01</v>
      </c>
      <c r="G278" s="8">
        <v>0</v>
      </c>
      <c r="H278" s="8">
        <v>0</v>
      </c>
      <c r="I278" s="8">
        <v>0</v>
      </c>
      <c r="J278" s="8">
        <v>0</v>
      </c>
      <c r="K278" s="58">
        <f t="shared" si="46"/>
        <v>0</v>
      </c>
    </row>
    <row r="279" spans="1:11" ht="15.65" customHeight="1" x14ac:dyDescent="0.25">
      <c r="A279" s="9" t="s">
        <v>256</v>
      </c>
      <c r="B279" s="34"/>
      <c r="C279" s="10"/>
      <c r="D279" s="10"/>
      <c r="E279" s="10"/>
      <c r="F279" s="100"/>
      <c r="G279" s="8"/>
      <c r="H279" s="8"/>
      <c r="I279" s="8">
        <v>200</v>
      </c>
      <c r="J279" s="8">
        <v>0</v>
      </c>
      <c r="K279" s="58">
        <f t="shared" si="46"/>
        <v>200</v>
      </c>
    </row>
    <row r="280" spans="1:11" ht="17.7" customHeight="1" thickBot="1" x14ac:dyDescent="0.3">
      <c r="A280" s="11" t="s">
        <v>186</v>
      </c>
      <c r="B280" s="51"/>
      <c r="C280" s="63">
        <v>0</v>
      </c>
      <c r="D280" s="63">
        <v>808.1</v>
      </c>
      <c r="E280" s="63">
        <f>-98.01</f>
        <v>-98.01</v>
      </c>
      <c r="F280" s="111">
        <f>SUM(C280:E280)</f>
        <v>710.09</v>
      </c>
      <c r="G280" s="12">
        <v>0</v>
      </c>
      <c r="H280" s="12">
        <v>0</v>
      </c>
      <c r="I280" s="12">
        <v>0</v>
      </c>
      <c r="J280" s="12">
        <v>0</v>
      </c>
      <c r="K280" s="72">
        <f t="shared" si="46"/>
        <v>0</v>
      </c>
    </row>
    <row r="281" spans="1:11" ht="15.65" customHeight="1" thickBot="1" x14ac:dyDescent="0.3">
      <c r="A281" s="37" t="s">
        <v>152</v>
      </c>
      <c r="B281" s="32"/>
      <c r="C281" s="24">
        <f t="shared" ref="C281:H281" si="50">SUM(C283)</f>
        <v>0</v>
      </c>
      <c r="D281" s="24">
        <f t="shared" si="50"/>
        <v>80</v>
      </c>
      <c r="E281" s="24">
        <f t="shared" si="50"/>
        <v>0</v>
      </c>
      <c r="F281" s="110">
        <f t="shared" si="50"/>
        <v>80</v>
      </c>
      <c r="G281" s="24">
        <f t="shared" si="50"/>
        <v>0</v>
      </c>
      <c r="H281" s="24">
        <f t="shared" si="50"/>
        <v>0</v>
      </c>
      <c r="I281" s="24">
        <f>SUM(I283)</f>
        <v>0</v>
      </c>
      <c r="J281" s="24">
        <f>SUM(J283)</f>
        <v>0</v>
      </c>
      <c r="K281" s="161">
        <f t="shared" si="46"/>
        <v>0</v>
      </c>
    </row>
    <row r="282" spans="1:11" ht="16.3" customHeight="1" x14ac:dyDescent="0.25">
      <c r="A282" s="38" t="s">
        <v>24</v>
      </c>
      <c r="B282" s="126"/>
      <c r="C282" s="8"/>
      <c r="D282" s="8"/>
      <c r="E282" s="8"/>
      <c r="F282" s="100"/>
      <c r="G282" s="8"/>
      <c r="H282" s="8"/>
      <c r="I282" s="8"/>
      <c r="J282" s="8"/>
      <c r="K282" s="58"/>
    </row>
    <row r="283" spans="1:11" ht="17.7" customHeight="1" thickBot="1" x14ac:dyDescent="0.3">
      <c r="A283" s="36" t="s">
        <v>161</v>
      </c>
      <c r="B283" s="51"/>
      <c r="C283" s="12">
        <v>0</v>
      </c>
      <c r="D283" s="12">
        <v>80</v>
      </c>
      <c r="E283" s="12">
        <v>0</v>
      </c>
      <c r="F283" s="111">
        <f>SUM(C283:E283)</f>
        <v>80</v>
      </c>
      <c r="G283" s="12">
        <v>0</v>
      </c>
      <c r="H283" s="12">
        <v>0</v>
      </c>
      <c r="I283" s="12">
        <v>0</v>
      </c>
      <c r="J283" s="12">
        <v>0</v>
      </c>
      <c r="K283" s="72">
        <f t="shared" si="46"/>
        <v>0</v>
      </c>
    </row>
    <row r="284" spans="1:11" ht="15.8" customHeight="1" thickBot="1" x14ac:dyDescent="0.3">
      <c r="A284" s="37" t="s">
        <v>154</v>
      </c>
      <c r="B284" s="32"/>
      <c r="C284" s="24">
        <f t="shared" ref="C284:H284" si="51">SUM(C286)</f>
        <v>312</v>
      </c>
      <c r="D284" s="24">
        <f t="shared" si="51"/>
        <v>9220</v>
      </c>
      <c r="E284" s="24">
        <f t="shared" si="51"/>
        <v>-2863.75</v>
      </c>
      <c r="F284" s="110">
        <f t="shared" si="51"/>
        <v>4023.25</v>
      </c>
      <c r="G284" s="24">
        <f t="shared" si="51"/>
        <v>0</v>
      </c>
      <c r="H284" s="24">
        <f t="shared" si="51"/>
        <v>-3604.5</v>
      </c>
      <c r="I284" s="24">
        <f>SUM(I286)</f>
        <v>1322</v>
      </c>
      <c r="J284" s="24">
        <f>SUM(J286)</f>
        <v>0</v>
      </c>
      <c r="K284" s="161">
        <f t="shared" si="46"/>
        <v>1322</v>
      </c>
    </row>
    <row r="285" spans="1:11" ht="16.3" customHeight="1" x14ac:dyDescent="0.25">
      <c r="A285" s="38" t="s">
        <v>24</v>
      </c>
      <c r="B285" s="126"/>
      <c r="C285" s="8"/>
      <c r="D285" s="8"/>
      <c r="E285" s="8"/>
      <c r="F285" s="100"/>
      <c r="G285" s="8"/>
      <c r="H285" s="8"/>
      <c r="I285" s="8"/>
      <c r="J285" s="8"/>
      <c r="K285" s="58"/>
    </row>
    <row r="286" spans="1:11" ht="18.350000000000001" customHeight="1" thickBot="1" x14ac:dyDescent="0.3">
      <c r="A286" s="36" t="s">
        <v>161</v>
      </c>
      <c r="B286" s="51"/>
      <c r="C286" s="12">
        <f>150+162</f>
        <v>312</v>
      </c>
      <c r="D286" s="12">
        <v>9220</v>
      </c>
      <c r="E286" s="12">
        <f>-413.82-710.13+231-1885.5-85.3</f>
        <v>-2863.75</v>
      </c>
      <c r="F286" s="163">
        <f>SUM(C286:E286)-2645</f>
        <v>4023.25</v>
      </c>
      <c r="G286" s="15">
        <v>0</v>
      </c>
      <c r="H286" s="15">
        <f>-3137.5-467</f>
        <v>-3604.5</v>
      </c>
      <c r="I286" s="15">
        <v>1322</v>
      </c>
      <c r="J286" s="15">
        <v>0</v>
      </c>
      <c r="K286" s="72">
        <f t="shared" si="46"/>
        <v>1322</v>
      </c>
    </row>
    <row r="287" spans="1:11" ht="15.65" customHeight="1" thickBot="1" x14ac:dyDescent="0.3">
      <c r="A287" s="42" t="s">
        <v>156</v>
      </c>
      <c r="B287" s="32"/>
      <c r="C287" s="24">
        <f t="shared" ref="C287:H287" si="52">SUM(C289:C290)</f>
        <v>0</v>
      </c>
      <c r="D287" s="24">
        <f t="shared" si="52"/>
        <v>11500</v>
      </c>
      <c r="E287" s="24">
        <f t="shared" si="52"/>
        <v>0</v>
      </c>
      <c r="F287" s="110">
        <f t="shared" si="52"/>
        <v>11500</v>
      </c>
      <c r="G287" s="24">
        <f t="shared" si="52"/>
        <v>0</v>
      </c>
      <c r="H287" s="24">
        <f t="shared" si="52"/>
        <v>200</v>
      </c>
      <c r="I287" s="24">
        <f>SUM(I289:I290)</f>
        <v>10450</v>
      </c>
      <c r="J287" s="24">
        <f>SUM(J289:J290)</f>
        <v>0</v>
      </c>
      <c r="K287" s="161">
        <f t="shared" si="46"/>
        <v>10450</v>
      </c>
    </row>
    <row r="288" spans="1:11" ht="13.75" customHeight="1" x14ac:dyDescent="0.25">
      <c r="A288" s="38" t="s">
        <v>24</v>
      </c>
      <c r="B288" s="126"/>
      <c r="C288" s="8"/>
      <c r="D288" s="8"/>
      <c r="E288" s="8"/>
      <c r="F288" s="100"/>
      <c r="G288" s="8"/>
      <c r="H288" s="8"/>
      <c r="I288" s="8"/>
      <c r="J288" s="8"/>
      <c r="K288" s="58"/>
    </row>
    <row r="289" spans="1:11" ht="18.350000000000001" customHeight="1" x14ac:dyDescent="0.25">
      <c r="A289" s="35" t="s">
        <v>161</v>
      </c>
      <c r="B289" s="34"/>
      <c r="C289" s="10">
        <v>0</v>
      </c>
      <c r="D289" s="10">
        <v>11500</v>
      </c>
      <c r="E289" s="10">
        <v>0</v>
      </c>
      <c r="F289" s="100">
        <f>SUM(C289:E289)</f>
        <v>11500</v>
      </c>
      <c r="G289" s="8">
        <v>0</v>
      </c>
      <c r="H289" s="8">
        <f>200</f>
        <v>200</v>
      </c>
      <c r="I289" s="8">
        <v>10050</v>
      </c>
      <c r="J289" s="8">
        <v>0</v>
      </c>
      <c r="K289" s="58">
        <f t="shared" si="46"/>
        <v>10050</v>
      </c>
    </row>
    <row r="290" spans="1:11" ht="39.75" customHeight="1" x14ac:dyDescent="0.25">
      <c r="A290" s="181" t="s">
        <v>265</v>
      </c>
      <c r="B290" s="148" t="s">
        <v>247</v>
      </c>
      <c r="C290" s="10">
        <v>0</v>
      </c>
      <c r="D290" s="10">
        <v>0</v>
      </c>
      <c r="E290" s="10">
        <v>0</v>
      </c>
      <c r="F290" s="109">
        <f>SUM(C290:E290)</f>
        <v>0</v>
      </c>
      <c r="G290" s="10">
        <v>0</v>
      </c>
      <c r="H290" s="10">
        <v>0</v>
      </c>
      <c r="I290" s="10">
        <v>400</v>
      </c>
      <c r="J290" s="10">
        <v>0</v>
      </c>
      <c r="K290" s="162">
        <f t="shared" si="46"/>
        <v>400</v>
      </c>
    </row>
    <row r="291" spans="1:11" ht="17.5" customHeight="1" thickBot="1" x14ac:dyDescent="0.3">
      <c r="A291" s="176" t="s">
        <v>187</v>
      </c>
      <c r="B291" s="177"/>
      <c r="C291" s="178">
        <f>SUM(C222+C225+C230+C241+C245+C249+C253+C257+C263+C267+C274+C281+C284+C287)</f>
        <v>2749.63</v>
      </c>
      <c r="D291" s="178">
        <f>SUM(D222+D225+D230+D241+D245+D249+D253+D257+D263+D267+D274+D281+D284+D287)</f>
        <v>166842.41</v>
      </c>
      <c r="E291" s="178">
        <f>SUM(E222+E225+E230+E241+E245+E249+E253+E257+E263+E267+E274+E281+E284+E287)</f>
        <v>-7693.55</v>
      </c>
      <c r="F291" s="179">
        <f>SUM(F222+F225+F230+F241+F245+F249+F253+F257+F263+F267+F274+F281+F284+F287)</f>
        <v>160506.09</v>
      </c>
      <c r="G291" s="178">
        <f>G222+G225+G230+G241+G245+G249+G253+G257+G263+G267+G274+G281+G284+G287</f>
        <v>21425</v>
      </c>
      <c r="H291" s="178">
        <f>SUM(H222+H225+H230+H241+H245+H249+H253+H257+H263+H267+H274+H281+H284+H287)</f>
        <v>-15260.55</v>
      </c>
      <c r="I291" s="178">
        <f>I222+I225+I230+I241+I245+I249+I253+I257+I263+I267+I274+I281+I284+I287</f>
        <v>492824.36</v>
      </c>
      <c r="J291" s="178">
        <f>SUM(J222+J225+J230+J241+J245+J249+J253+J257+J263+J267+J274+J281+J284+J287)</f>
        <v>11607.72</v>
      </c>
      <c r="K291" s="180">
        <f t="shared" si="46"/>
        <v>504432.07999999996</v>
      </c>
    </row>
    <row r="292" spans="1:11" ht="18" customHeight="1" thickBot="1" x14ac:dyDescent="0.3">
      <c r="A292" s="76" t="s">
        <v>188</v>
      </c>
      <c r="B292" s="77"/>
      <c r="C292" s="45">
        <f>SUM(C219+C291)</f>
        <v>1838.1900000000005</v>
      </c>
      <c r="D292" s="45">
        <f>SUM(D219+D291)</f>
        <v>232017.86</v>
      </c>
      <c r="E292" s="45">
        <f>SUM(E219+E291)</f>
        <v>2326.7799999999979</v>
      </c>
      <c r="F292" s="112">
        <f>SUM(F219+F291)</f>
        <v>236382.78</v>
      </c>
      <c r="G292" s="45">
        <f>G219+G291</f>
        <v>35370.35</v>
      </c>
      <c r="H292" s="45">
        <f>SUM(H219+H291)</f>
        <v>2328.0200000000004</v>
      </c>
      <c r="I292" s="45">
        <f>I219+I291</f>
        <v>2429680.37</v>
      </c>
      <c r="J292" s="45">
        <f>J219+J291</f>
        <v>2245.6799999999985</v>
      </c>
      <c r="K292" s="166">
        <f t="shared" si="46"/>
        <v>2431926.0500000003</v>
      </c>
    </row>
    <row r="293" spans="1:11" ht="14.95" customHeight="1" thickBot="1" x14ac:dyDescent="0.3">
      <c r="A293" s="90"/>
      <c r="B293" s="91"/>
      <c r="C293" s="15"/>
      <c r="D293" s="15"/>
      <c r="E293" s="15"/>
      <c r="F293" s="163"/>
      <c r="G293" s="15"/>
      <c r="H293" s="15"/>
      <c r="I293" s="15"/>
      <c r="J293" s="15"/>
      <c r="K293" s="72"/>
    </row>
    <row r="294" spans="1:11" ht="14.95" customHeight="1" thickBot="1" x14ac:dyDescent="0.3">
      <c r="A294" s="16" t="s">
        <v>189</v>
      </c>
      <c r="B294" s="46"/>
      <c r="C294" s="17"/>
      <c r="D294" s="17"/>
      <c r="E294" s="17"/>
      <c r="F294" s="105"/>
      <c r="G294" s="17"/>
      <c r="H294" s="17"/>
      <c r="I294" s="17"/>
      <c r="J294" s="17"/>
      <c r="K294" s="96"/>
    </row>
    <row r="295" spans="1:11" ht="14.95" customHeight="1" x14ac:dyDescent="0.25">
      <c r="A295" s="7" t="s">
        <v>190</v>
      </c>
      <c r="B295" s="29"/>
      <c r="C295" s="8">
        <v>0</v>
      </c>
      <c r="D295" s="8">
        <v>1014.79</v>
      </c>
      <c r="E295" s="8">
        <v>0</v>
      </c>
      <c r="F295" s="100">
        <f t="shared" ref="F295:F301" si="53">SUM(C295:E295)</f>
        <v>1014.79</v>
      </c>
      <c r="G295" s="8">
        <v>0</v>
      </c>
      <c r="H295" s="8">
        <v>0</v>
      </c>
      <c r="I295" s="8">
        <v>15400</v>
      </c>
      <c r="J295" s="8">
        <v>0</v>
      </c>
      <c r="K295" s="58">
        <f t="shared" si="46"/>
        <v>15400</v>
      </c>
    </row>
    <row r="296" spans="1:11" ht="14.95" customHeight="1" x14ac:dyDescent="0.25">
      <c r="A296" s="9" t="s">
        <v>191</v>
      </c>
      <c r="B296" s="31"/>
      <c r="C296" s="56">
        <v>0</v>
      </c>
      <c r="D296" s="56">
        <v>0</v>
      </c>
      <c r="E296" s="57">
        <v>0</v>
      </c>
      <c r="F296" s="100">
        <f t="shared" si="53"/>
        <v>0</v>
      </c>
      <c r="G296" s="8">
        <v>0</v>
      </c>
      <c r="H296" s="8">
        <v>0</v>
      </c>
      <c r="I296" s="8">
        <v>0</v>
      </c>
      <c r="J296" s="8">
        <v>0</v>
      </c>
      <c r="K296" s="58">
        <f t="shared" si="46"/>
        <v>0</v>
      </c>
    </row>
    <row r="297" spans="1:11" ht="14.95" customHeight="1" x14ac:dyDescent="0.25">
      <c r="A297" s="9" t="s">
        <v>192</v>
      </c>
      <c r="B297" s="31"/>
      <c r="C297" s="56">
        <v>0</v>
      </c>
      <c r="D297" s="56">
        <v>0</v>
      </c>
      <c r="E297" s="57">
        <v>0</v>
      </c>
      <c r="F297" s="100">
        <f t="shared" si="53"/>
        <v>0</v>
      </c>
      <c r="G297" s="8">
        <v>0</v>
      </c>
      <c r="H297" s="8">
        <v>0</v>
      </c>
      <c r="I297" s="8">
        <v>0</v>
      </c>
      <c r="J297" s="8">
        <v>0</v>
      </c>
      <c r="K297" s="58">
        <f t="shared" si="46"/>
        <v>0</v>
      </c>
    </row>
    <row r="298" spans="1:11" ht="14.95" customHeight="1" x14ac:dyDescent="0.25">
      <c r="A298" s="9" t="s">
        <v>193</v>
      </c>
      <c r="B298" s="31"/>
      <c r="C298" s="56">
        <v>0</v>
      </c>
      <c r="D298" s="56">
        <v>0</v>
      </c>
      <c r="E298" s="57">
        <v>0</v>
      </c>
      <c r="F298" s="100">
        <f t="shared" si="53"/>
        <v>0</v>
      </c>
      <c r="G298" s="8">
        <v>0</v>
      </c>
      <c r="H298" s="8">
        <v>0</v>
      </c>
      <c r="I298" s="8">
        <v>5451</v>
      </c>
      <c r="J298" s="8">
        <v>0</v>
      </c>
      <c r="K298" s="58">
        <f t="shared" si="46"/>
        <v>5451</v>
      </c>
    </row>
    <row r="299" spans="1:11" ht="14.95" customHeight="1" x14ac:dyDescent="0.25">
      <c r="A299" s="9" t="s">
        <v>194</v>
      </c>
      <c r="B299" s="31"/>
      <c r="C299" s="56">
        <v>0</v>
      </c>
      <c r="D299" s="56">
        <v>0</v>
      </c>
      <c r="E299" s="57">
        <v>0</v>
      </c>
      <c r="F299" s="100">
        <f t="shared" si="53"/>
        <v>0</v>
      </c>
      <c r="G299" s="8">
        <v>0</v>
      </c>
      <c r="H299" s="8">
        <v>0</v>
      </c>
      <c r="I299" s="8">
        <v>0</v>
      </c>
      <c r="J299" s="8">
        <v>0</v>
      </c>
      <c r="K299" s="58">
        <f t="shared" si="46"/>
        <v>0</v>
      </c>
    </row>
    <row r="300" spans="1:11" ht="14.95" customHeight="1" x14ac:dyDescent="0.25">
      <c r="A300" s="9" t="s">
        <v>195</v>
      </c>
      <c r="B300" s="31"/>
      <c r="C300" s="56">
        <v>0</v>
      </c>
      <c r="D300" s="56">
        <v>0</v>
      </c>
      <c r="E300" s="57">
        <v>0</v>
      </c>
      <c r="F300" s="100">
        <f t="shared" si="53"/>
        <v>0</v>
      </c>
      <c r="G300" s="8">
        <v>0</v>
      </c>
      <c r="H300" s="8">
        <v>0</v>
      </c>
      <c r="I300" s="8">
        <v>0</v>
      </c>
      <c r="J300" s="8">
        <v>0</v>
      </c>
      <c r="K300" s="58">
        <f t="shared" si="46"/>
        <v>0</v>
      </c>
    </row>
    <row r="301" spans="1:11" ht="14.95" customHeight="1" thickBot="1" x14ac:dyDescent="0.3">
      <c r="A301" s="156" t="s">
        <v>196</v>
      </c>
      <c r="B301" s="27"/>
      <c r="C301" s="157">
        <v>0</v>
      </c>
      <c r="D301" s="157">
        <v>0.1</v>
      </c>
      <c r="E301" s="157">
        <v>0</v>
      </c>
      <c r="F301" s="111">
        <f t="shared" si="53"/>
        <v>0.1</v>
      </c>
      <c r="G301" s="12">
        <v>0</v>
      </c>
      <c r="H301" s="12">
        <v>0</v>
      </c>
      <c r="I301" s="12">
        <v>73897.100000000006</v>
      </c>
      <c r="J301" s="12">
        <v>0</v>
      </c>
      <c r="K301" s="58">
        <f t="shared" si="46"/>
        <v>73897.100000000006</v>
      </c>
    </row>
    <row r="302" spans="1:11" ht="17.5" customHeight="1" thickBot="1" x14ac:dyDescent="0.3">
      <c r="A302" s="16" t="s">
        <v>197</v>
      </c>
      <c r="B302" s="47"/>
      <c r="C302" s="74">
        <f t="shared" ref="C302:H302" si="54">SUM(C295:C301)</f>
        <v>0</v>
      </c>
      <c r="D302" s="74">
        <f t="shared" si="54"/>
        <v>1014.89</v>
      </c>
      <c r="E302" s="74">
        <f t="shared" si="54"/>
        <v>0</v>
      </c>
      <c r="F302" s="106">
        <f t="shared" si="54"/>
        <v>1014.89</v>
      </c>
      <c r="G302" s="61">
        <f t="shared" si="54"/>
        <v>0</v>
      </c>
      <c r="H302" s="61">
        <f t="shared" si="54"/>
        <v>0</v>
      </c>
      <c r="I302" s="61">
        <f>SUM(I295:I301)</f>
        <v>94748.1</v>
      </c>
      <c r="J302" s="61">
        <f>SUM(J295:J301)</f>
        <v>0</v>
      </c>
      <c r="K302" s="158">
        <f>SUM(I302:J302)</f>
        <v>94748.1</v>
      </c>
    </row>
    <row r="303" spans="1:11" ht="16.5" customHeight="1" thickBot="1" x14ac:dyDescent="0.3">
      <c r="A303" s="20" t="s">
        <v>198</v>
      </c>
      <c r="B303" s="48"/>
      <c r="C303" s="75">
        <f>SUM(C292+C302)</f>
        <v>1838.1900000000005</v>
      </c>
      <c r="D303" s="75">
        <f>D292+D302</f>
        <v>233032.75</v>
      </c>
      <c r="E303" s="75">
        <f>SUM(E292+E302)</f>
        <v>2326.7799999999979</v>
      </c>
      <c r="F303" s="107">
        <f>SUM(F292+F302)</f>
        <v>237397.67</v>
      </c>
      <c r="G303" s="62">
        <f>G292+G302</f>
        <v>35370.35</v>
      </c>
      <c r="H303" s="62">
        <f>SUM(H292+H302)</f>
        <v>2328.0200000000004</v>
      </c>
      <c r="I303" s="62">
        <f>I292+I302</f>
        <v>2524428.4700000002</v>
      </c>
      <c r="J303" s="62">
        <f>J292+J302</f>
        <v>2245.6799999999985</v>
      </c>
      <c r="K303" s="169">
        <f>SUM(I303:J303)</f>
        <v>2526674.1500000004</v>
      </c>
    </row>
    <row r="304" spans="1:11" ht="14.95" customHeight="1" thickBot="1" x14ac:dyDescent="0.3">
      <c r="A304" s="145"/>
      <c r="B304" s="146"/>
      <c r="C304" s="147"/>
      <c r="D304" s="147"/>
      <c r="E304" s="147"/>
      <c r="F304" s="143"/>
      <c r="G304" s="142"/>
      <c r="H304" s="142"/>
      <c r="I304" s="142"/>
      <c r="J304" s="142"/>
      <c r="K304" s="144"/>
    </row>
    <row r="305" spans="1:11" ht="29.25" customHeight="1" thickBot="1" x14ac:dyDescent="0.3">
      <c r="A305" s="16" t="s">
        <v>259</v>
      </c>
      <c r="B305" s="46"/>
      <c r="C305" s="73"/>
      <c r="D305" s="73"/>
      <c r="E305" s="73"/>
      <c r="F305" s="105"/>
      <c r="G305" s="17"/>
      <c r="H305" s="17"/>
      <c r="I305" s="17"/>
      <c r="J305" s="17"/>
      <c r="K305" s="96"/>
    </row>
    <row r="306" spans="1:11" ht="17.149999999999999" customHeight="1" thickBot="1" x14ac:dyDescent="0.3">
      <c r="A306" s="14" t="s">
        <v>199</v>
      </c>
      <c r="B306" s="50"/>
      <c r="C306" s="92">
        <v>0</v>
      </c>
      <c r="D306" s="92">
        <v>0</v>
      </c>
      <c r="E306" s="92">
        <v>0</v>
      </c>
      <c r="F306" s="163">
        <f>SUM(C306:E306)</f>
        <v>0</v>
      </c>
      <c r="G306" s="15">
        <v>0</v>
      </c>
      <c r="H306" s="15">
        <v>0</v>
      </c>
      <c r="I306" s="15">
        <f>SUM(G306:H306)</f>
        <v>0</v>
      </c>
      <c r="J306" s="15">
        <f t="shared" ref="J306:J307" si="55">SUM(H306:I306)</f>
        <v>0</v>
      </c>
      <c r="K306" s="140" t="s">
        <v>240</v>
      </c>
    </row>
    <row r="307" spans="1:11" ht="29.25" thickBot="1" x14ac:dyDescent="0.3">
      <c r="A307" s="16" t="s">
        <v>267</v>
      </c>
      <c r="B307" s="47"/>
      <c r="C307" s="74">
        <v>0</v>
      </c>
      <c r="D307" s="74">
        <f>SUM(D306)</f>
        <v>0</v>
      </c>
      <c r="E307" s="74">
        <v>0</v>
      </c>
      <c r="F307" s="106">
        <f>SUM(C307:E307)</f>
        <v>0</v>
      </c>
      <c r="G307" s="61">
        <f>SUM(G306)</f>
        <v>0</v>
      </c>
      <c r="H307" s="61">
        <v>0</v>
      </c>
      <c r="I307" s="61">
        <f>SUM(G307:H307)</f>
        <v>0</v>
      </c>
      <c r="J307" s="61">
        <f t="shared" si="55"/>
        <v>0</v>
      </c>
      <c r="K307" s="141" t="s">
        <v>240</v>
      </c>
    </row>
    <row r="308" spans="1:11" ht="5.3" customHeight="1" x14ac:dyDescent="0.25"/>
    <row r="309" spans="1:11" ht="11.25" customHeight="1" x14ac:dyDescent="0.25">
      <c r="A309" s="49"/>
      <c r="B309" s="120"/>
    </row>
    <row r="310" spans="1:11" hidden="1" x14ac:dyDescent="0.25">
      <c r="A310" s="49"/>
      <c r="B310" s="120"/>
    </row>
  </sheetData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upraveného rozpočtu pro rok 2026 po RO RM č. 1 - 11
&amp;"-,Obyčejné"Zpracovala: Ing. Pavla Kupková, FO
&amp;RStrana &amp;P
celkem 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rozp.r.2026 a RO RM 1-11</vt:lpstr>
      <vt:lpstr>'ZU rozp.r.2026 a RO RM 1-11'!Názvy_tisku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Ing. Radmila Kačmaříková</cp:lastModifiedBy>
  <cp:lastPrinted>2026-02-16T14:41:17Z</cp:lastPrinted>
  <dcterms:created xsi:type="dcterms:W3CDTF">2024-01-31T13:47:41Z</dcterms:created>
  <dcterms:modified xsi:type="dcterms:W3CDTF">2026-02-23T07:50:12Z</dcterms:modified>
</cp:coreProperties>
</file>